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fileSharing readOnlyRecommended="1"/>
  <workbookPr/>
  <mc:AlternateContent xmlns:mc="http://schemas.openxmlformats.org/markup-compatibility/2006">
    <mc:Choice Requires="x15">
      <x15ac:absPath xmlns:x15ac="http://schemas.microsoft.com/office/spreadsheetml/2010/11/ac" url="https://sintef.sharepoint.com/teams/work-12056/Delte Dokumenter/Update 2023/"/>
    </mc:Choice>
  </mc:AlternateContent>
  <xr:revisionPtr revIDLastSave="1" documentId="8_{21ABABB5-950E-4CEA-83F5-45A1197E8F6C}" xr6:coauthVersionLast="47" xr6:coauthVersionMax="47" xr10:uidLastSave="{22FB1A6B-121C-4487-8C59-63D8836FE273}"/>
  <bookViews>
    <workbookView xWindow="0" yWindow="0" windowWidth="25800" windowHeight="21000" firstSheet="1" activeTab="2" xr2:uid="{00000000-000D-0000-FFFF-FFFF00000000}"/>
  </bookViews>
  <sheets>
    <sheet name="R&amp;I activities" sheetId="20" r:id="rId1"/>
    <sheet name="EU" sheetId="1" r:id="rId2"/>
    <sheet name="Austria" sheetId="2" r:id="rId3"/>
    <sheet name="Belgium" sheetId="3" r:id="rId4"/>
    <sheet name="Finland" sheetId="18" r:id="rId5"/>
    <sheet name="France" sheetId="13" r:id="rId6"/>
    <sheet name="Germany" sheetId="4" r:id="rId7"/>
    <sheet name="Italy" sheetId="19" r:id="rId8"/>
    <sheet name="Netherlands" sheetId="17" r:id="rId9"/>
    <sheet name="Portugal" sheetId="11" r:id="rId10"/>
    <sheet name="Spain" sheetId="10" r:id="rId11"/>
    <sheet name="Sweden" sheetId="26" r:id="rId12"/>
    <sheet name="Turkey" sheetId="8" r:id="rId13"/>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11" hidden="1">Sweden!$F$2:$F$50</definedName>
    <definedName name="Pal_Workbook_GUID" hidden="1">"P7AK4H5JDANIY6X6LZ7D8LMY"</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8" l="1"/>
  <c r="J58" i="10"/>
  <c r="K58" i="10" s="1"/>
  <c r="K31" i="11"/>
  <c r="J31" i="11"/>
  <c r="L31" i="11"/>
  <c r="I49" i="2"/>
  <c r="K49" i="2" s="1"/>
  <c r="J49" i="2"/>
  <c r="M3" i="26" l="1"/>
  <c r="M4" i="26"/>
  <c r="M5" i="26"/>
  <c r="M6" i="26"/>
  <c r="M7" i="26"/>
  <c r="M9" i="26"/>
  <c r="M10" i="26"/>
  <c r="M11" i="26"/>
  <c r="M12" i="26"/>
  <c r="M13" i="26"/>
  <c r="M15" i="26"/>
  <c r="M16" i="26"/>
  <c r="M18" i="26"/>
  <c r="M19" i="26"/>
  <c r="M20" i="26"/>
  <c r="M22" i="26"/>
  <c r="M24" i="26"/>
  <c r="M26" i="26"/>
  <c r="M28" i="26"/>
  <c r="M29" i="26"/>
  <c r="M30" i="26"/>
  <c r="M31" i="26"/>
  <c r="M32" i="26"/>
  <c r="M34" i="26"/>
  <c r="M38" i="26"/>
  <c r="M39" i="26"/>
  <c r="M40" i="26"/>
  <c r="M41" i="26"/>
  <c r="M42" i="26"/>
  <c r="M43" i="26"/>
  <c r="M44" i="26"/>
  <c r="M45" i="26"/>
  <c r="M46" i="26"/>
  <c r="M47" i="26"/>
  <c r="M48" i="26"/>
  <c r="M49" i="26"/>
  <c r="M50" i="26"/>
  <c r="M51" i="26"/>
  <c r="M52" i="26"/>
  <c r="M53" i="26"/>
  <c r="M54" i="26"/>
  <c r="M55" i="26"/>
  <c r="M56" i="26"/>
  <c r="M57" i="26"/>
  <c r="M58" i="26"/>
  <c r="L59" i="26"/>
  <c r="M59" i="26"/>
  <c r="L60" i="26"/>
  <c r="M60" i="26"/>
  <c r="L61" i="26"/>
  <c r="M61" i="26"/>
  <c r="L62" i="26"/>
  <c r="M62" i="26"/>
  <c r="L63" i="26"/>
  <c r="M63" i="26"/>
  <c r="L64" i="26"/>
  <c r="M64" i="26"/>
  <c r="L65" i="26"/>
  <c r="M65" i="26"/>
  <c r="L66" i="26"/>
  <c r="M66" i="26"/>
  <c r="L67" i="26"/>
  <c r="M67" i="26"/>
  <c r="L68" i="26"/>
  <c r="M68" i="26"/>
  <c r="L69" i="26"/>
  <c r="M69" i="26"/>
  <c r="L70" i="26"/>
  <c r="M70" i="26"/>
  <c r="L71" i="26"/>
  <c r="M71" i="26"/>
  <c r="L72" i="26"/>
  <c r="M72" i="26"/>
  <c r="L73" i="26"/>
  <c r="M73" i="26"/>
  <c r="L74" i="26"/>
  <c r="M74" i="26"/>
  <c r="L75" i="26"/>
  <c r="M75" i="26"/>
  <c r="L76" i="26"/>
  <c r="M76" i="26"/>
  <c r="L77" i="26"/>
  <c r="M77" i="26"/>
  <c r="L78" i="26"/>
  <c r="M78" i="26"/>
  <c r="L79" i="26"/>
  <c r="M79" i="26"/>
  <c r="L80" i="26"/>
  <c r="M80" i="26"/>
  <c r="L81" i="26"/>
  <c r="M81" i="26"/>
  <c r="L82" i="26"/>
  <c r="M82" i="26"/>
  <c r="L83" i="26"/>
  <c r="M83" i="26"/>
  <c r="L84" i="26"/>
  <c r="M84" i="26"/>
  <c r="L85" i="26"/>
  <c r="M85" i="26"/>
  <c r="L86" i="26"/>
  <c r="M86" i="26"/>
  <c r="L87" i="26"/>
  <c r="M87" i="26"/>
  <c r="L88" i="26"/>
  <c r="M88" i="26"/>
  <c r="L89" i="26"/>
  <c r="M89" i="26"/>
  <c r="L90" i="26"/>
  <c r="M90" i="26"/>
  <c r="L91" i="26"/>
  <c r="M91" i="26"/>
  <c r="L92" i="26"/>
  <c r="M92" i="26"/>
  <c r="L93" i="26"/>
  <c r="M93" i="26"/>
  <c r="L94" i="26"/>
  <c r="M94" i="26"/>
  <c r="L95" i="26"/>
  <c r="M95" i="26"/>
  <c r="L96" i="26"/>
  <c r="M96" i="26"/>
  <c r="L97" i="26"/>
  <c r="M97" i="26"/>
  <c r="L98" i="26"/>
  <c r="M98" i="26"/>
  <c r="L99" i="26"/>
  <c r="M99" i="26"/>
  <c r="L100" i="26"/>
  <c r="M100" i="26"/>
  <c r="L101" i="26"/>
  <c r="M101" i="26"/>
  <c r="L102" i="26"/>
  <c r="M102" i="26"/>
  <c r="L103" i="26"/>
  <c r="M103" i="26"/>
  <c r="L104" i="26"/>
  <c r="M104" i="26"/>
  <c r="L105" i="26"/>
  <c r="M105" i="26"/>
  <c r="L106" i="26"/>
  <c r="M106" i="26"/>
  <c r="L107" i="26"/>
  <c r="M107" i="26"/>
  <c r="L108" i="26"/>
  <c r="M108" i="26"/>
  <c r="L109" i="26"/>
  <c r="M109" i="26"/>
  <c r="L110" i="26"/>
  <c r="M110" i="26"/>
  <c r="L111" i="26"/>
  <c r="M111" i="26"/>
  <c r="L112" i="26"/>
  <c r="M112" i="26"/>
  <c r="L113" i="26"/>
  <c r="M113" i="26"/>
  <c r="L114" i="26"/>
  <c r="M114" i="26"/>
  <c r="L115" i="26"/>
  <c r="M115" i="26"/>
  <c r="L116" i="26"/>
  <c r="M116" i="26"/>
  <c r="L117" i="26"/>
  <c r="M117" i="26"/>
  <c r="L118" i="26"/>
  <c r="M118" i="26"/>
  <c r="J27" i="13"/>
  <c r="L27" i="13" s="1"/>
  <c r="K27" i="13"/>
  <c r="K16" i="8"/>
  <c r="L4" i="8"/>
  <c r="D28" i="13"/>
  <c r="K54" i="18"/>
  <c r="D52" i="3"/>
  <c r="C63" i="2"/>
  <c r="J3" i="18"/>
  <c r="J35" i="4"/>
  <c r="K35" i="4"/>
  <c r="J52" i="18"/>
  <c r="J51" i="18"/>
  <c r="J50" i="18"/>
  <c r="J49" i="18"/>
  <c r="J48" i="18"/>
  <c r="J47" i="18"/>
  <c r="J46" i="18"/>
  <c r="J45" i="18"/>
  <c r="J44" i="18"/>
  <c r="J43" i="18"/>
  <c r="J42" i="18"/>
  <c r="J41" i="18"/>
  <c r="J11" i="18"/>
  <c r="J10" i="18"/>
  <c r="J7" i="18"/>
  <c r="J5" i="18"/>
  <c r="L5" i="8"/>
  <c r="L6" i="8"/>
  <c r="L16" i="8" s="1"/>
  <c r="L7" i="8"/>
  <c r="L8" i="8"/>
  <c r="L9" i="8"/>
  <c r="L10" i="8"/>
  <c r="L11" i="8"/>
  <c r="L12" i="8"/>
  <c r="L13" i="8"/>
  <c r="J23" i="19"/>
  <c r="I23" i="19"/>
  <c r="J38" i="3"/>
  <c r="K7" i="3"/>
  <c r="K3" i="3"/>
  <c r="K12" i="3"/>
  <c r="K11" i="3"/>
  <c r="K10" i="3"/>
  <c r="K9" i="3"/>
  <c r="J54" i="18" l="1"/>
  <c r="L54" i="18" s="1"/>
  <c r="K38" i="3"/>
  <c r="M120" i="26"/>
  <c r="L120" i="26"/>
  <c r="L38" i="3"/>
  <c r="K2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tc={0BF751B0-5189-4EAF-AA9C-56FCED8AFE52}</author>
  </authors>
  <commentList>
    <comment ref="J5" authorId="0" shapeId="0" xr:uid="{0BF751B0-5189-4EAF-AA9C-56FCED8AFE52}">
      <text>
        <t>[Threaded comment]
Your version of Excel allows you to read this threaded comment; however, any edits to it will get removed if the file is opened in a newer version of Excel. Learn more: https://go.microsoft.com/fwlink/?linkid=870924
Comment:
    The budgets highlighted with yellow are estimations based on the MEAE's eligibility criteria for large demonstration projects of new energy technologies: up to 40% of the eligible costs.
Reply:
    The public share can be lower and private investment higher, so this is likely 'conservative' estimate for private share.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tc={431C2AB5-5541-4944-98BA-45681094BC58}</author>
  </authors>
  <commentList>
    <comment ref="A4" authorId="0" shapeId="0" xr:uid="{431C2AB5-5541-4944-98BA-45681094BC58}">
      <text>
        <t>[Threaded comment]
Your version of Excel allows you to read this threaded comment; however, any edits to it will get removed if the file is opened in a newer version of Excel. Learn more: https://go.microsoft.com/fwlink/?linkid=870924
Comment:
    H2 production from renewables or fossil fuel</t>
      </text>
    </comment>
  </commentList>
</comments>
</file>

<file path=xl/sharedStrings.xml><?xml version="1.0" encoding="utf-8"?>
<sst xmlns="http://schemas.openxmlformats.org/spreadsheetml/2006/main" count="3251" uniqueCount="1304">
  <si>
    <t>EU projects</t>
  </si>
  <si>
    <t xml:space="preserve">Project name </t>
  </si>
  <si>
    <t>Value chain</t>
  </si>
  <si>
    <t>R&amp;I activity IP8</t>
  </si>
  <si>
    <t>Funding source</t>
  </si>
  <si>
    <t>Leading country</t>
  </si>
  <si>
    <t>Start year</t>
  </si>
  <si>
    <t xml:space="preserve">End year </t>
  </si>
  <si>
    <t>TRL</t>
  </si>
  <si>
    <t>Total Project 
Budget (€)</t>
  </si>
  <si>
    <t>Public funding</t>
  </si>
  <si>
    <t>Type of funding</t>
  </si>
  <si>
    <t>Programme</t>
  </si>
  <si>
    <t>BECOOL</t>
  </si>
  <si>
    <t>PVC1, PVC5</t>
  </si>
  <si>
    <t>European Commission</t>
  </si>
  <si>
    <t>Italy</t>
  </si>
  <si>
    <t>from TRL 3-4 to TRL 4-5</t>
  </si>
  <si>
    <t>RIA</t>
  </si>
  <si>
    <t>H2020 - EU 3.3.3. - Alternative fuels and mobile energy sources</t>
  </si>
  <si>
    <t>ButaNext</t>
  </si>
  <si>
    <t>PVC5</t>
  </si>
  <si>
    <t>United Kingdom</t>
  </si>
  <si>
    <t>from TRL 4 to TRL 5-6</t>
  </si>
  <si>
    <t>H2020 - EU 3.3.3.1 - Make bio-energy more competitive and sustainable H2020 - EU 3.3.3.3 - New alternative fuels</t>
  </si>
  <si>
    <t>STEELANOL</t>
  </si>
  <si>
    <t>Gas fermentation</t>
  </si>
  <si>
    <t>Belgium</t>
  </si>
  <si>
    <t>from TRL 5-6 to TRL 8-9</t>
  </si>
  <si>
    <t>IA</t>
  </si>
  <si>
    <t xml:space="preserve">H2020 – EU 3.3.3.1. - Make bio-energy more competitive and sustainable </t>
  </si>
  <si>
    <t>4REFINERY</t>
  </si>
  <si>
    <t>PVC6</t>
  </si>
  <si>
    <t>1;11</t>
  </si>
  <si>
    <t>Norway</t>
  </si>
  <si>
    <t>from TRL3-4 to TRL4-5</t>
  </si>
  <si>
    <t>H2020 – EU 3.3.3. - Alternative fuels and mobile energy sources</t>
  </si>
  <si>
    <t>Biomasud Plus</t>
  </si>
  <si>
    <t>PVC4</t>
  </si>
  <si>
    <t>Spain</t>
  </si>
  <si>
    <t>CSA</t>
  </si>
  <si>
    <t>H2020 - EU 3.3.2. - Low-cost, low-carbon energy supply H2020 - EU 3.3.7. - Market uptake of energy innovation - building on Intelligent Energy Europe H2020 - EU 3.3.3.1. - Make bio-energy more competitive and sustainable</t>
  </si>
  <si>
    <t>Pulp and Fuel</t>
  </si>
  <si>
    <t>PVC1, PVC3</t>
  </si>
  <si>
    <t>France</t>
  </si>
  <si>
    <t>from TRL 3 to TRL 5</t>
  </si>
  <si>
    <t>WASTE2ROAD</t>
  </si>
  <si>
    <t>PVC3</t>
  </si>
  <si>
    <t>from TRL 3-4 to TRL 5</t>
  </si>
  <si>
    <t>REWOFUEL</t>
  </si>
  <si>
    <t>from TRL 6-7 to higher</t>
  </si>
  <si>
    <t>BIO4A</t>
  </si>
  <si>
    <t>EVC1</t>
  </si>
  <si>
    <t>from TRL 6 to TRL 7</t>
  </si>
  <si>
    <t>BioMates</t>
  </si>
  <si>
    <t>PVC3, HP1</t>
  </si>
  <si>
    <t>Greece</t>
  </si>
  <si>
    <t>from TRL 5 to higher</t>
  </si>
  <si>
    <t>H2020 - EU.3.3.3. - Alternative fuels and mobile energy sources</t>
  </si>
  <si>
    <t>Ambition</t>
  </si>
  <si>
    <t>PVC1, gas fermentation</t>
  </si>
  <si>
    <t>1, 7</t>
  </si>
  <si>
    <t>from TRL 1-2 to TRL 3-4</t>
  </si>
  <si>
    <t>H2020 - EU.3.3.2. - Low-cost, low-carbon energy supply H2020 - EU.3.3.3. - Alternative fuels and mobile energy sources H2020 - EU.3.3.4. - A single, smart European electricity grid H2020 - EU.3.3.5. - New knowledge and technologies</t>
  </si>
  <si>
    <t>TO-SYN-FUEL</t>
  </si>
  <si>
    <t>PVC1, PVC3, PVC4, HP2</t>
  </si>
  <si>
    <t>Germany</t>
  </si>
  <si>
    <t>from TRL 5-6 to TRL 6-7</t>
  </si>
  <si>
    <t>ADVANCEFUEL</t>
  </si>
  <si>
    <t>PVC1, PVC3, PVC5, PVC6, HP1, HP2</t>
  </si>
  <si>
    <t>1 to 7</t>
  </si>
  <si>
    <t>from TRL 3 to TRL 9</t>
  </si>
  <si>
    <t>H2020 - EU.3.3.2. - Low-cost, low-carbon energy supply H2020 - EU.3.3.3. - Alternative fuels and mobile energy sources H2020 - EU 3.3.7. - Market uptake of energy innovation - building on Intelligent Energy Europe</t>
  </si>
  <si>
    <t>CLARA</t>
  </si>
  <si>
    <t>from TRL 5-6 to higher</t>
  </si>
  <si>
    <t>BRISK II</t>
  </si>
  <si>
    <t>Sweden</t>
  </si>
  <si>
    <t>TRL 2-5</t>
  </si>
  <si>
    <t>H2020-EU.1.4.1.2. - Integrating and opening existing national and regional research infrastructures of European interest</t>
  </si>
  <si>
    <t>FlexJET</t>
  </si>
  <si>
    <t>EVC1, PVC3, HP2</t>
  </si>
  <si>
    <t>TRL 9</t>
  </si>
  <si>
    <t>Photofuel</t>
  </si>
  <si>
    <t>PVC5, PVC6, DP1</t>
  </si>
  <si>
    <t>from TRL 3 to TRL 4-5</t>
  </si>
  <si>
    <t>H2020-EU.3.3.3.1. - Make bio-energy more competitive and sustainable H2020-EU.3.3.3.3. - New alternative fuels</t>
  </si>
  <si>
    <t>ABC-SALT</t>
  </si>
  <si>
    <t>PVC3, PVC4</t>
  </si>
  <si>
    <t>Netherlands</t>
  </si>
  <si>
    <t>from TRL 1-3 to TRL 4</t>
  </si>
  <si>
    <t>H2020-EU.3.3.5. - New knowledge and technologies H2020-EU.3.3.2. - Low-cost, low-carbon energy supply H2020-EU.3.3.3. - Alternative fuels and mobile energy sources</t>
  </si>
  <si>
    <t>Torero</t>
  </si>
  <si>
    <t>PVC4, gas fermentation</t>
  </si>
  <si>
    <t>H2020-EU.3.3.3. - Alternative fuels and mobile energy sources</t>
  </si>
  <si>
    <t>2G BIOPIC</t>
  </si>
  <si>
    <t>EVC3</t>
  </si>
  <si>
    <t>from TRL 5-6 to TRL 6-7</t>
  </si>
  <si>
    <t>H2020-EU.3.3.3.1. - Make bio-energy more competitive and sustainable</t>
  </si>
  <si>
    <t>GRACE</t>
  </si>
  <si>
    <t>TRL 6-7</t>
  </si>
  <si>
    <t>BBI-IA-DEMO</t>
  </si>
  <si>
    <t xml:space="preserve">H2020-EU.3.2.6. - Bio-based Industries Joint Technology Initiative (BBI-JTI) </t>
  </si>
  <si>
    <t>HyFlexFuel</t>
  </si>
  <si>
    <t>from TRL 2-4 to TRL 5</t>
  </si>
  <si>
    <t xml:space="preserve">H2020-EU.3.3.3. - Alternative fuels and mobile energy sources </t>
  </si>
  <si>
    <t>NextGenRoadFuel</t>
  </si>
  <si>
    <t>Denmark</t>
  </si>
  <si>
    <t>TRL 5</t>
  </si>
  <si>
    <t>BL2F</t>
  </si>
  <si>
    <t>Finland</t>
  </si>
  <si>
    <t>WASTE2FUELS</t>
  </si>
  <si>
    <t>H2020</t>
  </si>
  <si>
    <t>Heat-To-Fuel</t>
  </si>
  <si>
    <t>PVC2, PVC3, EVC1, HP1</t>
  </si>
  <si>
    <t>Austria</t>
  </si>
  <si>
    <t>BioDie2020</t>
  </si>
  <si>
    <t>2;11</t>
  </si>
  <si>
    <t>from TRL6 to TRL 7</t>
  </si>
  <si>
    <t>LIGNOFLAG</t>
  </si>
  <si>
    <t>TRL9</t>
  </si>
  <si>
    <t>BBI.VC1.F1 - From lignocellulosic feedstock to advanced bio-based chemicals, materials or ethanol</t>
  </si>
  <si>
    <t>BABET REAL5</t>
  </si>
  <si>
    <t>PCV5</t>
  </si>
  <si>
    <t>from TRL4 to TRL5</t>
  </si>
  <si>
    <t>H2020-EU.3.3.3.1. H2020-EU.3.3.3.3.</t>
  </si>
  <si>
    <t>DEMO4GRID</t>
  </si>
  <si>
    <t>electricity, H2O, H2 displacing NG</t>
  </si>
  <si>
    <t xml:space="preserve">from TRL 6 to TRL 7 </t>
  </si>
  <si>
    <t>H2020-JTI-FCH-2016-1</t>
  </si>
  <si>
    <t>DJEWELS</t>
  </si>
  <si>
    <t>electricity, H2O, H2, methanol</t>
  </si>
  <si>
    <t>5, 6</t>
  </si>
  <si>
    <t>from TRL 7 to TRL 8</t>
  </si>
  <si>
    <t>H2020-JTI-FCH-2018-1</t>
  </si>
  <si>
    <t>MultiPLHY</t>
  </si>
  <si>
    <t>TRL 7-8</t>
  </si>
  <si>
    <t>Public-private FCH JU2 partnership</t>
  </si>
  <si>
    <t>NEXTAEC</t>
  </si>
  <si>
    <t>H2, electrolyser</t>
  </si>
  <si>
    <t>TRL 4-6</t>
  </si>
  <si>
    <t>H2020-EU.2.1.3. - INDUSTRIAL LEADERSHIP - Leadership in enabling and industrial technologies - Advanced materials
H2020-EU.2.1.2. - INDUSTRIAL LEADERSHIP - Leadership in enabling and industrial technologies – Nanotechnologies</t>
  </si>
  <si>
    <t>ARBAHEAT</t>
  </si>
  <si>
    <t>The Netherlands</t>
  </si>
  <si>
    <t>from TRL 5 to TRL 7-8</t>
  </si>
  <si>
    <t>Verbiostraw</t>
  </si>
  <si>
    <t>EVC4</t>
  </si>
  <si>
    <t>TRL 6-9</t>
  </si>
  <si>
    <t>EU-NER300</t>
  </si>
  <si>
    <t xml:space="preserve">HYDROSOL-Beyond
Thermochemical HYDROgen production in a SOLar structured reactor: facing the challenges and beyond
</t>
  </si>
  <si>
    <t xml:space="preserve">European Commission </t>
  </si>
  <si>
    <t>TRL 4-5</t>
  </si>
  <si>
    <t>Power-to-Fuel</t>
  </si>
  <si>
    <t>EIT InnoEnergy</t>
  </si>
  <si>
    <t>Microalgae Based Sustainable Bio-Jet Fuel Project (MICRO-JET)</t>
  </si>
  <si>
    <t>Turkey</t>
  </si>
  <si>
    <t>2 500 000 TL</t>
  </si>
  <si>
    <t>EBIO - Biofuels through Electrochemical transformation of intermediate BIO-liquids</t>
  </si>
  <si>
    <t>TRL 2-4</t>
  </si>
  <si>
    <t>323 330 EUR</t>
  </si>
  <si>
    <t>HP1</t>
  </si>
  <si>
    <t>DP1, PVC6</t>
  </si>
  <si>
    <t>Total</t>
  </si>
  <si>
    <t>Country / Region</t>
  </si>
  <si>
    <t>Leading partner</t>
  </si>
  <si>
    <t>Public funding (€)</t>
  </si>
  <si>
    <t>Oxygen Carriers in Fluidized Bed Combustion of Biomass for Higher Efficiency, Reduced Emissions and (or) Negative CO2 (OxyCar-FBC)</t>
  </si>
  <si>
    <t xml:space="preserve">Austrian Research Promotion Agency </t>
  </si>
  <si>
    <t>TU Vienna</t>
  </si>
  <si>
    <t>TRL 3-5</t>
  </si>
  <si>
    <t>public-private,                                                                                         national funding,                                                                   competitive funding</t>
  </si>
  <si>
    <t>ADVANCED BIOMASS CCHP BASED ON GASIFICATION, SOFC AND COOLING MACHINES (BIOCCHP)</t>
  </si>
  <si>
    <t>Graz University of Technology</t>
  </si>
  <si>
    <t>Development of an enzymatic CO2-capture strategy for an optimised microbiological methanation (carbonATE)</t>
  </si>
  <si>
    <t>University of natural resources and life sciences Vienna</t>
  </si>
  <si>
    <t>Enhanced catalytic fast pyrolysis of biomass for maximum production of high-quality biofuels (EnCat)</t>
  </si>
  <si>
    <t>BIOS Bioenergysysteme GmbH</t>
  </si>
  <si>
    <t>Combined biomass valorisation to bioenergy, industrial feedstocks and bio based products (PUMLA)</t>
  </si>
  <si>
    <t>bisy GmbH</t>
  </si>
  <si>
    <t>n.a.</t>
  </si>
  <si>
    <t>ReGas4Industry Gase aus regenerativen Reststoffquellen für die Industrie</t>
  </si>
  <si>
    <t>Bio-Electric Syngas Technology for the Production of Biomass derived Biofuels and Platform Chemicals (BesTECH)</t>
  </si>
  <si>
    <t>BEST Bioenergy and Sustainable Technologies GmbH</t>
  </si>
  <si>
    <t>HEATflex Development of a common technical &amp; economic strategy to increase the competitiveness of CHP &amp; district heating plants</t>
  </si>
  <si>
    <t>PlanEnergi (Denmark)</t>
  </si>
  <si>
    <t>EvEmbI Evaluation and reduction of methane emissions from different European biogas plant concepts</t>
  </si>
  <si>
    <t>DBFZ (Germany)</t>
  </si>
  <si>
    <t>BIOFEGG (Biogas for Future Electric and Gas Grids)</t>
  </si>
  <si>
    <t>Kajaani University of applied sciences (Finland)</t>
  </si>
  <si>
    <t>Up-Whey Upstream processing of lactose whey for bulk chemicals and energy
production</t>
  </si>
  <si>
    <t>tbw research GesmbH</t>
  </si>
  <si>
    <t>holzgasBHKW+ Effiziente, Intelligente und Nachhaltige Energiegewinnung: die Innovative Holzgas-BHKW-Anlage</t>
  </si>
  <si>
    <t>TRL 6-8</t>
  </si>
  <si>
    <t>BC4I Biochar for Industry</t>
  </si>
  <si>
    <t>RenewableSteelGases - Einbindung erneuerbarer Energie in die Stahlproduktion zur Energieeffizienzsteigerung und Reduktion der CO2-Emissionen</t>
  </si>
  <si>
    <t>Montanuniversität Leoben</t>
  </si>
  <si>
    <t>Hydrometha Development of a stationary electricity storage system via high temperature co-electrolysis and catalytic methanation</t>
  </si>
  <si>
    <t>4, 7</t>
  </si>
  <si>
    <t>AVL List Gmbh</t>
  </si>
  <si>
    <t>Bio-HTL Hydrothermale Co-Verflüssigung von Mikroalgen und biogenen Reststoffen</t>
  </si>
  <si>
    <t>1, 4</t>
  </si>
  <si>
    <t>FlexiFuelGasControl Increased fuel flexibility and modulation capability of fixed-bed biomass gasifiers by means of model based control</t>
  </si>
  <si>
    <t>BioREg Etablierung einer dezentralen rohstofflexiblen Reststoffbioraffinerie</t>
  </si>
  <si>
    <t>Kompetenzzentrum Holz GmbH</t>
  </si>
  <si>
    <t>Biogas2H2 - On-site Biogasnutzung zur dezentralen Wasserstofferzeugung</t>
  </si>
  <si>
    <t>TU Graz</t>
  </si>
  <si>
    <t>Waste2Value</t>
  </si>
  <si>
    <t>Zero Dust Technology</t>
  </si>
  <si>
    <t>Biomasse Fernwärme Sulzberg</t>
  </si>
  <si>
    <t>Co-processing of vegetable oil</t>
  </si>
  <si>
    <t>Private Investment</t>
  </si>
  <si>
    <t>OMV</t>
  </si>
  <si>
    <t>private</t>
  </si>
  <si>
    <t>Biorefinery AustroCel Hallein</t>
  </si>
  <si>
    <t>AustroCel Hallein GmbH</t>
  </si>
  <si>
    <t>ZeroEm-HiEffBioHeat Entwicklung eines Brennstoff-flexiblen Zero-Emission Biomasse-Brennwertkessels</t>
  </si>
  <si>
    <t>PTLiquid Entwicklung eines Verfahrens zur mikrobiologischen Nutzung von CO2 und H2 zur Gewinnung von Ethanol</t>
  </si>
  <si>
    <t>BOKU</t>
  </si>
  <si>
    <t>BioHyMe Entwicklung eines Hochdruckproduktionsverfahrens für die gekoppelte biologische Wasserstoff- und Methanproduktion</t>
  </si>
  <si>
    <t>University of Vienna</t>
  </si>
  <si>
    <t>H2.AT: Extremophile mikrobielle Zellfabriken zur hocheffizienten Produktion von Biowasserstoff</t>
  </si>
  <si>
    <t>Thermische Vergasung minderwertiger Reststoffe zur Produktion von Wertstoffen &amp; Energie</t>
  </si>
  <si>
    <t>2, 4</t>
  </si>
  <si>
    <t>LowEmi-MicroStove Entwicklung eines neuen, kostengünstigen und emissionsarmen Pelletkaminofens mit hochmoderner Regelung</t>
  </si>
  <si>
    <t>BIOFLEX! – Clean and flexible use of new difficult biomass fuels in small to medium-scale combustion</t>
  </si>
  <si>
    <t>RISE (Sweden)</t>
  </si>
  <si>
    <t>EmiL Emission Limited Biomass Combustion</t>
  </si>
  <si>
    <t>Forschung Burgenland GmbH</t>
  </si>
  <si>
    <t>Fuel cell tractor fuelled with biogenic hydrogen (FCTRAC)</t>
  </si>
  <si>
    <t>Upscaling of green hydrogen for mobility and industry – UpHy I</t>
  </si>
  <si>
    <t>OMV Downstream GmbH</t>
  </si>
  <si>
    <t>SuperP2G Synergies utilising renewable power regionally by means of Power to Gas</t>
  </si>
  <si>
    <t>TU Denmark</t>
  </si>
  <si>
    <t xml:space="preserve">Bluetifuel Blue flames for low-emission combustion using non-carbon eco-fuels </t>
  </si>
  <si>
    <t>Combustion Bay One e.U.</t>
  </si>
  <si>
    <t>H2Future</t>
  </si>
  <si>
    <t>VERBUND</t>
  </si>
  <si>
    <t>Up HY II - Electrolysis Plant for Green Hydrogen Production</t>
  </si>
  <si>
    <t>HYTECHBASIS 4 WIVA</t>
  </si>
  <si>
    <t>Fronius International GmbH</t>
  </si>
  <si>
    <t>UPDATES 2023</t>
  </si>
  <si>
    <t>holzgasBHKW+ Efficient, intelligent and sustainable energy generation: the innovative wood gas CHP plant</t>
  </si>
  <si>
    <t>Design-SOEC Knowledge-based design of high-temperature electrolysis cells for optimised hydrogen production</t>
  </si>
  <si>
    <t>BioMeFilm Biological methanation in the biofilm reactor</t>
  </si>
  <si>
    <t>BioHEAT Development of a process chain based on opportunity fuels for heat production in industrial processes</t>
  </si>
  <si>
    <t>BEST - Bioenergy and Sustainable Technologies GmbH</t>
  </si>
  <si>
    <t>IFE Innovative Liquid Energy</t>
  </si>
  <si>
    <t>AVL List GmbH</t>
  </si>
  <si>
    <t>public</t>
  </si>
  <si>
    <t>Belgium - Wallonia</t>
  </si>
  <si>
    <t>ENERBIO from the Portfolio C3E2D</t>
  </si>
  <si>
    <t>fermentation</t>
  </si>
  <si>
    <t xml:space="preserve"> Ministry of Public Service of Wallonia (Department of Economy, Employment and Research)</t>
  </si>
  <si>
    <t>Belgium/Wallonia</t>
  </si>
  <si>
    <t>UMONS</t>
  </si>
  <si>
    <t>Public (90%)- private;                                   FEDER + Regional co-financing</t>
  </si>
  <si>
    <t>H2GREEN</t>
  </si>
  <si>
    <t>microbial H2</t>
  </si>
  <si>
    <t>H2WIN SA</t>
  </si>
  <si>
    <t>TRL 1 -4</t>
  </si>
  <si>
    <t>Public (80%)-private;                                     regional funds,                                    institutional funding</t>
  </si>
  <si>
    <t>OPTI-AGV</t>
  </si>
  <si>
    <t xml:space="preserve"> Ministry of Public Service of Wallonia (Department of Territory, Housing, Heritage and Energy)</t>
  </si>
  <si>
    <t>UCLouvain</t>
  </si>
  <si>
    <t>TRL 3</t>
  </si>
  <si>
    <t>Public;                                                              regional funding;                                         competitive funding</t>
  </si>
  <si>
    <t>PERSEPHONE</t>
  </si>
  <si>
    <t>EVC4, DP1</t>
  </si>
  <si>
    <t>Au  pays de l’Attert asbl</t>
  </si>
  <si>
    <t>TRL 8-9</t>
  </si>
  <si>
    <t>Public-private;                                                        co-funding INTERREG V, here the regional part</t>
  </si>
  <si>
    <t>WallonHY</t>
  </si>
  <si>
    <t>UCLouvain IMAP, Cluster TWEED</t>
  </si>
  <si>
    <t>TRL 4</t>
  </si>
  <si>
    <t>Public (90%)-private;                                           regional funding;                                        competitive funding</t>
  </si>
  <si>
    <t>TTCOGEN</t>
  </si>
  <si>
    <t>Application for heat and electricity, biogas cogeneration in lean gas engine</t>
  </si>
  <si>
    <t xml:space="preserve">ECAM (High School) </t>
  </si>
  <si>
    <t>Public;                                                                national funding;                                       competitive funding</t>
  </si>
  <si>
    <t>HYDEAI</t>
  </si>
  <si>
    <t>Hydrogen production, electroysis improvement</t>
  </si>
  <si>
    <t>John Cockerill CMI</t>
  </si>
  <si>
    <t>Public (60%) - private;                                     national funding;                                        competitive funding</t>
  </si>
  <si>
    <t>Boiler development</t>
  </si>
  <si>
    <t>Applications for heat and electricity, micro-cogeneration for biomethanisation</t>
  </si>
  <si>
    <t>MITIS (SME)</t>
  </si>
  <si>
    <t>Public  (70%)- private;                                   national funding;                                      institutional funding</t>
  </si>
  <si>
    <t>COOPILOT BIOMGT</t>
  </si>
  <si>
    <t>Public (80%)-private;                                        national funding;                                        institutional funding</t>
  </si>
  <si>
    <t xml:space="preserve"> Biochemical (incl. anaerobic digestion), biomethanisation technologies (microcogeneration integration)</t>
  </si>
  <si>
    <t>ANATIS (SME)</t>
  </si>
  <si>
    <t>HYFLUX</t>
  </si>
  <si>
    <t>Hydrogen production</t>
  </si>
  <si>
    <t>TRL5</t>
  </si>
  <si>
    <t>Public;                                                              national funding;                                         institutional funding (first spin-off)</t>
  </si>
  <si>
    <t>EXTRAGV</t>
  </si>
  <si>
    <t>CEREF</t>
  </si>
  <si>
    <t>Development</t>
  </si>
  <si>
    <t>Public, Regional funding (we took 25% of the total regional funding for the energy objectives of the project), competitive call</t>
  </si>
  <si>
    <t>CRYOSTRESS</t>
  </si>
  <si>
    <t>Public, Regional funding, call</t>
  </si>
  <si>
    <t>CRM-Centre de recherche métallurgique</t>
  </si>
  <si>
    <t>ELECTROLYSE</t>
  </si>
  <si>
    <t>ULB</t>
  </si>
  <si>
    <t>Public, Regional funding, recovery &amp; relience fund</t>
  </si>
  <si>
    <t>UCLOUVAIN</t>
  </si>
  <si>
    <t>CRM</t>
  </si>
  <si>
    <t>MATERIA NOVA</t>
  </si>
  <si>
    <t>CENTEXBEL</t>
  </si>
  <si>
    <t>JOHN COCKERILL HYDROGEN</t>
  </si>
  <si>
    <t>PEPITE</t>
  </si>
  <si>
    <t>ICARE</t>
  </si>
  <si>
    <t>APERAM STAINLESS BELGIUM</t>
  </si>
  <si>
    <t>PEPPS</t>
  </si>
  <si>
    <t>PROJET EMR 223 EMR HYDROGEN BOOSTER</t>
  </si>
  <si>
    <t>Ministry of Public Service of Wallonia (Department of Territory, Housing, Heritage and Energy)</t>
  </si>
  <si>
    <t>SPI+</t>
  </si>
  <si>
    <t>Public, Regional funding</t>
  </si>
  <si>
    <t xml:space="preserve">PROJET EMR 223 EMR HYDROGEN BOOSTER </t>
  </si>
  <si>
    <t>CLUSTER TWEED</t>
  </si>
  <si>
    <t>Public, Regional funding (we took 50% of the total regional funding for the energy objectives of the project), competitive call</t>
  </si>
  <si>
    <t>UCL</t>
  </si>
  <si>
    <t>HP2, 7</t>
  </si>
  <si>
    <t>H2WIN</t>
  </si>
  <si>
    <t>Public, Regional funding, loan</t>
  </si>
  <si>
    <t>WIN4DOC-GENTLEMAN</t>
  </si>
  <si>
    <t>EVC7? Elina: 8</t>
  </si>
  <si>
    <t>MITIS</t>
  </si>
  <si>
    <t xml:space="preserve">2 to 5 </t>
  </si>
  <si>
    <t>Public, Regional funding, doctorate in industry</t>
  </si>
  <si>
    <t>CORNET - OPTIFERMAD</t>
  </si>
  <si>
    <t>EVC4 Elina: not marked, no information on TRL</t>
  </si>
  <si>
    <t>CELABOR</t>
  </si>
  <si>
    <t>Public, Regional funding part of EU CORNET prgmme</t>
  </si>
  <si>
    <t>FinH2 - Finnisn runway to hydrogen business</t>
  </si>
  <si>
    <t>Business Finland</t>
  </si>
  <si>
    <t>VTT</t>
  </si>
  <si>
    <t>3-7</t>
  </si>
  <si>
    <t xml:space="preserve">Public;                      national funding, competitive funding </t>
  </si>
  <si>
    <t>Chemistry-related requirements for gasification of biomass and waste</t>
  </si>
  <si>
    <t>Academy of Finland</t>
  </si>
  <si>
    <t>Turun yliopisto</t>
  </si>
  <si>
    <t>2-5</t>
  </si>
  <si>
    <t>Investment in CHP plant heat recovery and storage</t>
  </si>
  <si>
    <t>Ministry of Economic Affairs and Employment of Finland</t>
  </si>
  <si>
    <t>Savon Voima Oy</t>
  </si>
  <si>
    <t>5-8</t>
  </si>
  <si>
    <t xml:space="preserve">Public-private; national, competitive funding </t>
  </si>
  <si>
    <t>Solutions for green hydrogen production and further use of hydrogen in refinery processes</t>
  </si>
  <si>
    <t>HP1, HP2</t>
  </si>
  <si>
    <t>Neste Oyj</t>
  </si>
  <si>
    <t xml:space="preserve">Public-private; national funding , competitive funding </t>
  </si>
  <si>
    <t>Demonstration of Suomen Lantakaasu Oy's hybrid liquefied biogas production model</t>
  </si>
  <si>
    <t>Suomen Lantakaasu Oy</t>
  </si>
  <si>
    <t>Production facility for renewable methane</t>
  </si>
  <si>
    <t>Nordic Ren-Gas Oy</t>
  </si>
  <si>
    <t>SYNJET - Alternative Routes for sustainable jet fuels and chemical intermediates</t>
  </si>
  <si>
    <t xml:space="preserve">Public-private; national funding, competitive funding </t>
  </si>
  <si>
    <t>Multi-E project</t>
  </si>
  <si>
    <t>Raahen Monivoima Oy</t>
  </si>
  <si>
    <t xml:space="preserve">Public-private; national or transnational funding , competitive funding </t>
  </si>
  <si>
    <t>Demonstration project for hydrogen transmission infrastructure</t>
  </si>
  <si>
    <t>Gasgrid Finland Oy</t>
  </si>
  <si>
    <t>Bio-CCU: Creating sustainable value of the bio-based CO2</t>
  </si>
  <si>
    <t>Oulun yliopisto</t>
  </si>
  <si>
    <t>5R Refinery</t>
  </si>
  <si>
    <t>Lab-ammattikorkeakoulu Oy</t>
  </si>
  <si>
    <t>Green Electrification - GreenE2</t>
  </si>
  <si>
    <t>CLIC Innovation Oy</t>
  </si>
  <si>
    <t>E!13400 PUMA. Profitable 2G-bioethanol plants - e!13400 puma</t>
  </si>
  <si>
    <t>Oulun Yliopisto</t>
  </si>
  <si>
    <t>Carbon Cycle 2020</t>
  </si>
  <si>
    <t>St1 Oy</t>
  </si>
  <si>
    <t>Performance chemicals and transportation fuels from bio-CO2 and hydrogen</t>
  </si>
  <si>
    <t>HP2</t>
  </si>
  <si>
    <t>BECCU Vetytehostus panosmädätykseen</t>
  </si>
  <si>
    <t>Metener Oy</t>
  </si>
  <si>
    <t>Valmet ENTRY</t>
  </si>
  <si>
    <t>Valmet Technologies Oy</t>
  </si>
  <si>
    <t>ForBes</t>
  </si>
  <si>
    <t>Fortum Power and Heat Oy</t>
  </si>
  <si>
    <t>Polarmatic Zero emission heating solutions</t>
  </si>
  <si>
    <t>Polarmatic Oy</t>
  </si>
  <si>
    <t>Biojalostuksen arvoketjun ja biojalostamon malli - VaMo</t>
  </si>
  <si>
    <t>Chempolis Oy</t>
  </si>
  <si>
    <t>BioMet2020</t>
  </si>
  <si>
    <t>Projekti Sivuvirta - Hull</t>
  </si>
  <si>
    <t>Oy Karl Fazer Ab</t>
  </si>
  <si>
    <t>BIOFEGG</t>
  </si>
  <si>
    <t>Kajaanin Ammattikorkeakoulu Oy</t>
  </si>
  <si>
    <t xml:space="preserve">national or transnational funding , competitive funding </t>
  </si>
  <si>
    <t>BiKaJaKo - Biokaasun jalostuskonsepti</t>
  </si>
  <si>
    <t>BIOFEGG -rinnakkaishanke</t>
  </si>
  <si>
    <t>Value-optimized use of biomass in a flexible energy infrastructure - VaBiSys</t>
  </si>
  <si>
    <t>Biometaanin teknologiakokonaisuuden ja tuotantokonseptin kehittäminen</t>
  </si>
  <si>
    <t>Q Power Oy</t>
  </si>
  <si>
    <t>JäteKierto2030</t>
  </si>
  <si>
    <t>Biohydrogen from wood hemicellulose hydrolysate</t>
  </si>
  <si>
    <t>Åbo Akademi</t>
  </si>
  <si>
    <t>Fermatra: Fermentoinnin aineensiirtohaasteiden uudet ratkaisu</t>
  </si>
  <si>
    <t>Teollisuuteen ja energiantuotantoon integroidun liikenteen biopolttoaineen</t>
  </si>
  <si>
    <t>PVC1, PVC2</t>
  </si>
  <si>
    <t>Synteesikaasun tuotanto ja sen innovatiiviset tuotesovellukset ja liiketoimintamallit (SynKaasu)</t>
  </si>
  <si>
    <t>PVC2</t>
  </si>
  <si>
    <t>Tekniset edelläkävijäratkaisut lietteenkäsittelyn kokonaisoptimoinnissa</t>
  </si>
  <si>
    <t>Biorefining ensiled grass into inventive feed products (INNOFEED)</t>
  </si>
  <si>
    <t>Luonnonvarakeskus LUKE</t>
  </si>
  <si>
    <t>Lietteet ja rejektit uuden sukupolven biokaasulaitoksen syötteinä</t>
  </si>
  <si>
    <t>Selluteollisuuden lietteiden käsittely</t>
  </si>
  <si>
    <t>EcoProtech Oy</t>
  </si>
  <si>
    <t>Advanced high value lignocellulosic fuels</t>
  </si>
  <si>
    <t>Chemical reactions in chemical looping combustion of waste derived fuels and biofuels</t>
  </si>
  <si>
    <t xml:space="preserve">Public;                         national funding, competitive funding </t>
  </si>
  <si>
    <t>ExtremoForm: Extremophile microorganisms as a source of highly productive enzymes for CO2 reduction to formic acid and other C1 fuels and platform chemicals</t>
  </si>
  <si>
    <t>AALTO</t>
  </si>
  <si>
    <t xml:space="preserve">Public;              national funding, competitive funding </t>
  </si>
  <si>
    <t>Catalytic aqueous phase reforming of biorefinery water fractions</t>
  </si>
  <si>
    <t xml:space="preserve">Public;             national funding, competitive funding </t>
  </si>
  <si>
    <t>Conversion of light to transport fuels through integrated optoelectronic cell factories</t>
  </si>
  <si>
    <t xml:space="preserve">Public;                       national funding, competitive funding </t>
  </si>
  <si>
    <t>Synthetic controllability of biological networks through understanding and engineering their control elements</t>
  </si>
  <si>
    <t>HY</t>
  </si>
  <si>
    <t>Toward higher efficiencies and lower emissions using Indian-origin biofuels: Developing a predictive CFD model with well-validated reduced combustion kinetics for device-scale applications</t>
  </si>
  <si>
    <t>Holistic processes and practices for clean energy in strengthening bioeconomic strategies</t>
  </si>
  <si>
    <t>UEF</t>
  </si>
  <si>
    <t>Novel inhibitor-resistant lignocellulolytic enzymes from Indian fungal resouces</t>
  </si>
  <si>
    <t>VTT OY</t>
  </si>
  <si>
    <t>Depolymerization of Lignin and Bioconversion of Lignin-derived monomers to Biofuels</t>
  </si>
  <si>
    <t>TAU</t>
  </si>
  <si>
    <t xml:space="preserve">Public;                        national funding, competitive funding </t>
  </si>
  <si>
    <t>Low-Cost and Efficient MFC Materials for Bioelectricity Production from Waste Materials</t>
  </si>
  <si>
    <t>TTY</t>
  </si>
  <si>
    <t>Liquid fuels from lignin by hydrothermal liquefaction and deoxygenation</t>
  </si>
  <si>
    <t>Optimal production of bioethanol from macroalgae via photo-chemo-enzymatic processing – OPTIFU</t>
  </si>
  <si>
    <t>ÅA</t>
  </si>
  <si>
    <t>BioTfueL</t>
  </si>
  <si>
    <t>PVC1</t>
  </si>
  <si>
    <t>ADEME, CRP</t>
  </si>
  <si>
    <t>Recycling and valorisation of CO2 in fluidized bed process for steam gasification of biomass – ReCO2</t>
  </si>
  <si>
    <t>ANR</t>
  </si>
  <si>
    <t>COMMISSARIAT A L'ENERGIE ATOMIQUE ET AUX ENERGIES ALTERNATIVES</t>
  </si>
  <si>
    <t>Direct synthesis of DImethyl ether from synGAS - DIGAS</t>
  </si>
  <si>
    <t>Institut de Chimie et Procédés pour l’Energie, l’Environnement et la Santé</t>
  </si>
  <si>
    <t>Biohydrogen production: towards an innovative added-value bioprocess in anaerobic digestion-based waste treatment plant – ProBHyM</t>
  </si>
  <si>
    <t>EVC4, HP2</t>
  </si>
  <si>
    <t>Laboratoire de Biotechnologie de l'Environnement INRA</t>
  </si>
  <si>
    <t>Production of hydrogen from plant biomass using a combination of light and dark fermentation processes – HYCOFOL_BV</t>
  </si>
  <si>
    <t>Developing the cellulolytic bacteria Clostridium phytofermentans and Clostridium cellulolyticum as catalysts to convert plant biomass into higher alcohols – Phytocell</t>
  </si>
  <si>
    <t>Evaluation of the potential for producing bioethanol from cellulosic green seaweed – proof of technical concept and sustainability – GreenAlgOhol</t>
  </si>
  <si>
    <t>DP1</t>
  </si>
  <si>
    <t>CENTRE D'ETUDE ET DE VALORISATION DES ALGUES (CEVA)</t>
  </si>
  <si>
    <t>Creation of a cellulosome-bearing strain of E. coli for production of cellulosic butanol – cellutanol</t>
  </si>
  <si>
    <t>Centre National de la Recherche Scientifique délégation Provence et Corse _ Laboratoire de Chimie Bactérienne</t>
  </si>
  <si>
    <t>Photosynthesis Regulation and cyanobacterial biofuel production – ReCyFuel</t>
  </si>
  <si>
    <t>Institut de Biologie Intégrative de la Cellule</t>
  </si>
  <si>
    <t>Catalytic upgrading bio-oils obtained from hydrothermal liquefaction of µ-algae . – RAFBIOALG</t>
  </si>
  <si>
    <t>PVC3, DP1</t>
  </si>
  <si>
    <t>INSTITUT DE RECHERCHES SUR LA CATALYSE ET L'ENVIRONNEMENT DE LYON</t>
  </si>
  <si>
    <t>Biophysics of microalgae flotation – FLOTALG</t>
  </si>
  <si>
    <t>LABORATOIRE D'INGÉNIERIE DES SYSTÈMES BIOLOGIQUES ET DES PROCÉDÉS</t>
  </si>
  <si>
    <t>Bio-based production of hydrocarbons using a new photoenzyme – PHOTOALKANE</t>
  </si>
  <si>
    <t>Biologie végétale et microbiologie environnementales</t>
  </si>
  <si>
    <t>Manipulating energy signaling to improve biofuel production in photosynthetic eukaryotes – SIGNAUXBIONRJ</t>
  </si>
  <si>
    <t>Laboratoire de Gébétique et Biophysique des Plantes</t>
  </si>
  <si>
    <t>MS-AFM-IR platform for structural analysis of lipid inclusions in oleaginous micro-organisms – BioSound-IR</t>
  </si>
  <si>
    <t>Laboratoire Interdisciplinaire Carnot Bourgogne</t>
  </si>
  <si>
    <t>PVC5, DP1</t>
  </si>
  <si>
    <t>CENTRE D'ETUDE ET DE VALORISATION DES ALGUES</t>
  </si>
  <si>
    <t>Integrated system of microalgae refinery – ALGORAFFINERIE</t>
  </si>
  <si>
    <t>INSTITUT NATIONAL POLYTECHNIQUE DE TOULOUSE</t>
  </si>
  <si>
    <t>In situ characterization of the genomic content of viruses of methanogenic archaea in organic waste fermentation bioprocesses – VIRAME</t>
  </si>
  <si>
    <t>HYDROSYSTEMES ET BIOPROCEDES</t>
  </si>
  <si>
    <t>INTEGRATED CHEMOTYPING OF MICROALGAE: A NECESSARY TOOL FOR BIODIVERSITY EXPLORATION AND BLUE BIOTECHNOLOGY DEVELOPMENT – I-CHEMALGAE</t>
  </si>
  <si>
    <t>Institut de Chimie Moléculaire de Reims - URCA</t>
  </si>
  <si>
    <t>Impact of telomere dynamics on cell growth in the model unicellular green alga Chlamydomonas reinhardtii – AlgaTelo</t>
  </si>
  <si>
    <t>Biologie moléculaire et cellulaire des eucaryotes</t>
  </si>
  <si>
    <t>Control of farm anaerobic digesters – AUTOFERM</t>
  </si>
  <si>
    <t>Université de Lorraine - Ensaia</t>
  </si>
  <si>
    <t>CATAlytic Pyrolysis to Upgraded bio-oiLs for a joinT production of chemicals and fuels – CATAPULT</t>
  </si>
  <si>
    <t>Centre de Coopération Internationale en Recherche Agronomique pour le Développement</t>
  </si>
  <si>
    <t>Solar-driven Bio-Hydrogen production in a natural micro-oxic environment in the Cyanobacterium Anabaena PCC 7120 – CYANHY</t>
  </si>
  <si>
    <t>Centre National de la Recherche Scientifique Délégation Provence et Corse _ Laboratoire de chimie bactérienne</t>
  </si>
  <si>
    <t>Design of an improved Calvin-Benson Cycle for efficient CO2 fixation and photoproduction of biofuels and chemicals by microalgae and cyanobacteria – CalvinDesign</t>
  </si>
  <si>
    <t>Institut de Biologie Physico-Chimique - Laboratoire de Biologie Moléculaire et Cellulaire des Eucaryotes</t>
  </si>
  <si>
    <t>"total"</t>
  </si>
  <si>
    <t>"private"</t>
  </si>
  <si>
    <t>P2X</t>
  </si>
  <si>
    <t>7 (Development - demonstration)</t>
  </si>
  <si>
    <t xml:space="preserve">Federal Ministry of Research </t>
  </si>
  <si>
    <t>DECHEMA Research Institute, RWTH Aachen, FZJ</t>
  </si>
  <si>
    <t>TRL 2-9</t>
  </si>
  <si>
    <t xml:space="preserve">Public-private; 
National funding                                                     Competitive funding </t>
  </si>
  <si>
    <t xml:space="preserve">80 sub projects between 2016 and 2020. </t>
  </si>
  <si>
    <t>NAMOSYN</t>
  </si>
  <si>
    <t>7 (Development)</t>
  </si>
  <si>
    <t>DECHEMA Gesellschaft für Chemische Technik und Biotechnologie e.V.</t>
  </si>
  <si>
    <t xml:space="preserve">Public funding; 
National funding; 
competitive funding </t>
  </si>
  <si>
    <t>Cluster of straw-to-biogas projects</t>
  </si>
  <si>
    <t>Federal Ministry of Food and Agriculture</t>
  </si>
  <si>
    <t>several projects and several lead partners</t>
  </si>
  <si>
    <t>TRL 4-7</t>
  </si>
  <si>
    <t xml:space="preserve">Public funding (mainly)   National funding; competitive funding </t>
  </si>
  <si>
    <t>Pilot-SBG</t>
  </si>
  <si>
    <t>Federal Ministry of Transport</t>
  </si>
  <si>
    <t>DBFZ</t>
  </si>
  <si>
    <t>reFuels</t>
  </si>
  <si>
    <t>Several ministries from the State of Baden-Württemberg</t>
  </si>
  <si>
    <t>Germany /                   Baden-Württemberg</t>
  </si>
  <si>
    <t>KIT</t>
  </si>
  <si>
    <t>5  000 000</t>
  </si>
  <si>
    <t xml:space="preserve">Public-private funding; 
State-regional funding;   competitive funding </t>
  </si>
  <si>
    <t>BE20plus (6 projects)</t>
  </si>
  <si>
    <t>EVC6</t>
  </si>
  <si>
    <t>TRL 3-8</t>
  </si>
  <si>
    <t>DAnkEE</t>
  </si>
  <si>
    <t>9, 10</t>
  </si>
  <si>
    <t>Federal Ministry for Economic Affairs and Energy, Energetische Biomassenutzung</t>
  </si>
  <si>
    <t>Fraunhofer UMSICHT</t>
  </si>
  <si>
    <t>OPTIFLEX</t>
  </si>
  <si>
    <t>4, 5</t>
  </si>
  <si>
    <t>FNR</t>
  </si>
  <si>
    <t>University of Hohenheim</t>
  </si>
  <si>
    <t>TRL 5-7</t>
  </si>
  <si>
    <t xml:space="preserve">Public funding, 
National funding; 
competitive funding </t>
  </si>
  <si>
    <t>Verbio Vereinigte Bioenergie AG</t>
  </si>
  <si>
    <t xml:space="preserve">Public-private funding;    European transnational (co)funding;  Competitive funding;  </t>
  </si>
  <si>
    <t>Funding from NER300 relates to the amount of GHG saved by injecting biomethane into the grid: https://www.verbio.de/en/products/verbiogas/ . Total cost unknown</t>
  </si>
  <si>
    <t xml:space="preserve">Haru Oni; see https://haruoni.com/#/en </t>
  </si>
  <si>
    <t>7 (Development, Demonstration)</t>
  </si>
  <si>
    <t>Federal Ministry for Economic Affairs and Energy</t>
  </si>
  <si>
    <t>Chile</t>
  </si>
  <si>
    <t>German-Chile Energy Partnership (Siemens Energy, Porsche AG)</t>
  </si>
  <si>
    <t xml:space="preserve">Public-private funding; 
National funding; 
competitive funding </t>
  </si>
  <si>
    <t>Public funding is 40 % of the additional costs for innovative technologies in relation to a standard plant. Haru Oni website says 74 million USD total investment. https://hifglobal.com/location/haru-oni/ wikipedia says 20 million € by Porsche and 40 million by Siemens which would be consistent with the 8.2 million € public funding.</t>
  </si>
  <si>
    <t>Reststoff2Kraftstoff - Energieeffiziente Reststoffverwertung zur Erzeugung neuartiger erneuerbarer Kraftstoffe</t>
  </si>
  <si>
    <t>1, 2</t>
  </si>
  <si>
    <t>Gunvor Raffinerie Ingolstadt GmbH</t>
  </si>
  <si>
    <t>PyroMar - Marine fuels, made by pyrolysis of bio-based residues and esterification with higher alcohols</t>
  </si>
  <si>
    <t>Fraunhofer Umsicht</t>
  </si>
  <si>
    <t>VERENA - Vergasungsprozesse mit integrierter Überschussstromeinbindung zur flexiblen Stromerzeugung und Herstellung synthetischer Energieträger aus Reststoffen</t>
  </si>
  <si>
    <t>TU München</t>
  </si>
  <si>
    <t>TRL5-8</t>
  </si>
  <si>
    <t xml:space="preserve">2.800.000 cofunding by industrial partners; https://www.epe.ed.tum.de/es/forschung/projekte/verena/  and https://www.enargus.de/search/?q=01213251%2F1 </t>
  </si>
  <si>
    <t>Carbon2Chem-2L4: C2+ Alkohole, C2+ Olefine</t>
  </si>
  <si>
    <t>Federal Ministry of Education and Research</t>
  </si>
  <si>
    <t>Thyssenkrupp AG</t>
  </si>
  <si>
    <t xml:space="preserve">Public-private; 
National funding; 
competitive funding </t>
  </si>
  <si>
    <t>67 projects in this cluster funded by BMBF. See enargus.de  and https://www.umsicht.fraunhofer.de/en/lines-of-research/carbon-cycle/facts-figures.html   https://www.umsicht.fraunhofer.de/en/lines-of-research/carbon-cycle/project-structure.html for partners and contents. previous project was supported with 60 million €.</t>
  </si>
  <si>
    <t>BioMeth Synthese von Biomethanol auf Basis biogenen Wasserstoffs für den 
Einsatz im Mobilitätssektor</t>
  </si>
  <si>
    <t>EVC4/PVC1</t>
  </si>
  <si>
    <t>DBI - Gastechnologisches Institut gGmbH Freiberg, Biowerk Sohland GmbH</t>
  </si>
  <si>
    <t>ProBioLNG: Innovative Prozesskette zur ressourceneffizienten Erzeugung von Bio-LNG -Entwicklung einer ressourcen- und kosteneffizienten Prozesskette zur dezentralen Produktion von LNG auf der Basis innovativer Konversions-, Power-to-Gas- und Gasaufbereitungsverfahren</t>
  </si>
  <si>
    <t>EVC4/HP2</t>
  </si>
  <si>
    <t>University of Hohenheim; DVGW-Forschungsstelle am Engler-Bunte-Institut</t>
  </si>
  <si>
    <t>TRL 5-8</t>
  </si>
  <si>
    <t>KEROSyN100 - Entwicklung und Demonstration einer dynamischen, effizienten und skalierbaren Prozesskette für strombasiertes Kerosin - Phase 1</t>
  </si>
  <si>
    <t>Institut AES (Universität Bremen)</t>
  </si>
  <si>
    <t>FlexDME – Entwicklung einer flexibel operierenden Demonstrationsanlage zur Erzeugung von Dimethylether aus Biogas und Wasserstoff
Förderkennzeichen: 03EIV121A-​E</t>
  </si>
  <si>
    <t>ARCUS Technologie GmbH &amp; Co. GTL Projekt KG</t>
  </si>
  <si>
    <t xml:space="preserve">5 subprojects from academia and industry: https://www.enargus.de/pub/bscw.cgi/?op=enargus.eps2&amp;q=%2201183342/1%22 </t>
  </si>
  <si>
    <t>MethQuest: Using renewable methane to drive the energy revolution</t>
  </si>
  <si>
    <t xml:space="preserve"> MTU Friedrichshafen</t>
  </si>
  <si>
    <t>see https://www.methquest.de/en/ for all project partners from academia and industry</t>
  </si>
  <si>
    <t>UPDATES SPRING 2023</t>
  </si>
  <si>
    <t>Power-to-Biogas - Erfahrungsbasierte Einsatzplanung für die katalytische Methanisierung von Biogas zur Anlagenflexibilisierung</t>
  </si>
  <si>
    <t>Federal Ministry for Economic Affairs and Climate Action, Projektträger Jülich, DBFZ</t>
  </si>
  <si>
    <t>Friedrich-Alexander-Universität Erlangen-Nürnberg (FAU), aixprocess GmbH, Aachen,  revis bioenergy GmbH, Münster</t>
  </si>
  <si>
    <t>Großtechnische Erstanwendung von Power-to-Liquid-Technologie in Deutschland</t>
  </si>
  <si>
    <t>Federal Ministry for the Environment, Nature Conservation, Nuclear Safety and Consumer Protection</t>
  </si>
  <si>
    <t>INERATEC GmbH</t>
  </si>
  <si>
    <t>?</t>
  </si>
  <si>
    <t>TRL 5-9</t>
  </si>
  <si>
    <t>see https://www.umweltinnovationsprogramm.de/projekte/grosstechnische-erstanwendung-von-power-liquid-technologie-deutschland</t>
  </si>
  <si>
    <t>RePoSe (docking to the project by INERATEC GmbH)e (Real time Power Supply for e-fuels –
PtL-Produktion bei variabler Stromverfügbarkeit)</t>
  </si>
  <si>
    <t>Federal Ministry for Digital and Transport, Federal State of Hesse</t>
  </si>
  <si>
    <t>Kompetenzzentrum für Klima- und Lärmschutz im Luftverkehr (CENA Hessen), Fraunhofer-Einrichtung für Wertstoffkreisläufe und Ressourcenstrategie IWKS, Fraunhofer-Institut für Betriebsfestigkeit und Systemzuverlässigkeit LBF, INERATEC GmbH, Provadis School of International Management and Technology AG</t>
  </si>
  <si>
    <t xml:space="preserve">Public-private funding; 
National &amp; regional funding; 
competitive funding </t>
  </si>
  <si>
    <t>see https://erneuerbarekraftstoffe.de/wp-content/uploads/2023/02/RePoSe.pdf</t>
  </si>
  <si>
    <t>CARE-O-SENE (Catalyst Research for Sustainable Kerosene)</t>
  </si>
  <si>
    <t xml:space="preserve">Sasol Germany GmbH, KIT, FHG-IKTS, Helmholtz, INERATEC, </t>
  </si>
  <si>
    <t>see https://care-o-sene.com/en/</t>
  </si>
  <si>
    <t>REF4FU-Erneuerbare Kraftstoffe aus  Grünen Bioraffinerien der Zukunft</t>
  </si>
  <si>
    <t>Federal Ministry for Digital and Transport</t>
  </si>
  <si>
    <t xml:space="preserve">Karlsruhe Institute for Technology, Chemieanlagenbau Chemnitz GmbH, the German Biomass Research Center, the German Aerospace Center, EDL Anlagenbaugesellschaft mbH, Ineratec GmbH, Freiberg University of Mining and Technology. </t>
  </si>
  <si>
    <t>TRL 3-6</t>
  </si>
  <si>
    <t>see https://erneuerbarekraftstoffe.de/wp-content/uploads/2023/03/Projektsteckbrief_REF4FU.pdf</t>
  </si>
  <si>
    <t xml:space="preserve">DECarTrans: Demonstrating a Circular Carbon Economy in Transport along the Value Chain </t>
  </si>
  <si>
    <t>1,2,4,5</t>
  </si>
  <si>
    <t>FEV Europe, Chemieanlagenbau Chemnitz GmbH, Jülich Research Centre, Freiberg University of Mining and Technology, Hermann Lother &amp; Co., Coryton Advanced Fuels Deutschland</t>
  </si>
  <si>
    <t>see https://erneuerbarekraftstoffe.de/wp-content/uploads/2023/03/Projektsteckbrief_DeCarTrans.pdf</t>
  </si>
  <si>
    <t xml:space="preserve">SAFari: Sustainable Aviation Fuels based on Advanced Reaction and Process Intensification </t>
  </si>
  <si>
    <t>5,6</t>
  </si>
  <si>
    <t>Fraunhofer Institute for Solar Energy Systems ISE, ASG Analytik, BP Europa SE, Clariant GmbH, German Aerospace Center</t>
  </si>
  <si>
    <t>see https://erneuerbarekraftstoffe.de/wp-content/uploads/2023/03/Projektsteckbrief_SAFari.pdf</t>
  </si>
  <si>
    <t>MariSynFuel: Synthetisches Methanol als maritimer Kraftstoff für die Schifffahrt aus Bremerhaven</t>
  </si>
  <si>
    <t>Association for Promotion of Technology Transport at Bremen University of Applied Sciences (ttz), the Alfred Wegener Institute (AWI), the Institute of Shipping Economics and Logistics, and UTG Unabhängige Tanklogistik GmbH</t>
  </si>
  <si>
    <t xml:space="preserve">see https://isl.org/index.php/en/projects/marisynfuel </t>
  </si>
  <si>
    <t>InnoFuels: Vernetzung, Weiterentwicklung und Rahmenbedingungen zum Hochlauf strombasierter Kraftstoffe und fortschrittlicher Biokraftstoffe</t>
  </si>
  <si>
    <t>Karlsruhe Institute of Technology with its Institute for Piston Engines (IFKM) as well as its Institute for Catalysis Research and Technology (IKFT), the Center for Solar Energy and Hydrogen Research, the German Aerospace Center, the University of Rostock, the German Biomass Research Center (DBFZ), RheinMain University of Applied Sciences and Hesse Trade &amp; Invest.</t>
  </si>
  <si>
    <t>see https://www.now-gmbh.de/wp-content/uploads/2023/03/FKEK23_Plattform-InnoFuels_Toedter.pdf</t>
  </si>
  <si>
    <t>MeFuSION: Methanol Fuel-Cell Supplychain Investigation</t>
  </si>
  <si>
    <t>CreativeQuantum GmbH, Gumpert Automobile GmbH, DBI – Gastechnologischen Institut Freiberg, University of Stuttgart with its Department of Life Cycle Engineering (GaBi)</t>
  </si>
  <si>
    <t>see https://erneuerbarekraftstoffe.de/wp-content/uploads/2023/03/Projektsteckbrief_MeFuSION.pdf</t>
  </si>
  <si>
    <t>M2SAF - Nachhaltiges Kerosin aus Methanol</t>
  </si>
  <si>
    <t>OMV Deutschland Operations GmbH &amp; Co. KG, ASG Analytik-Service AG, BASF SE,DLR - Deutsches Zentrum für Luft- und Raumfahrt, Institut für Technische Thermodynamik, DLR - Deutsches Zentrum für Luft- und Raumfahrt, Institut für Verbrennungstechnik, thyssenkrupp Industrial Solutions AG - Uhde</t>
  </si>
  <si>
    <t>see https://erneuerbarekraftstoffe.de/wp-content/uploads/2022/11/M2SAF.pdf</t>
  </si>
  <si>
    <t>Project name</t>
  </si>
  <si>
    <t>Website</t>
  </si>
  <si>
    <t>Nanoporous materials with tailored structure for high performance methane storage and purification</t>
  </si>
  <si>
    <t>maybe 1? i am not sure this falls under any of the valuechains: Not about production, but about a new way for CH4 storage (from both natural gas and biogass)</t>
  </si>
  <si>
    <t>National - Ministry of University and Research (MIUR)</t>
  </si>
  <si>
    <t>Università degli Studi di Torino</t>
  </si>
  <si>
    <t xml:space="preserve">Public funding - Research Project of National Interest (PRIN). https://www.researchitaly.it/en/research-projects-of-national-interest/ </t>
  </si>
  <si>
    <t xml:space="preserve">https://cercauniversita.cineca.it/php5/prin/cerca.php?codice=2015CTEBBA&amp;testo=biogas </t>
  </si>
  <si>
    <t>HEterogeneous Robust Catalysts to Upgrade Low valuE biomass Streams (HERCULES)</t>
  </si>
  <si>
    <t xml:space="preserve">1, 7 </t>
  </si>
  <si>
    <t>Università degli Studi di Bologna</t>
  </si>
  <si>
    <t>https://cercauniversita.cineca.it/php5/prin/cerca.php?codice=20153T4REF&amp;testo=biomass</t>
  </si>
  <si>
    <t>Development of a New Hydrothermal Carbonization REActor with Renewable Energy Supply for Biomass Treatment (CREA)</t>
  </si>
  <si>
    <t>Università del Salento</t>
  </si>
  <si>
    <t xml:space="preserve">https://cercauniversita.cineca.it/php5/prin/cerca.php?codice=2015458EKA&amp;testo=biomass </t>
  </si>
  <si>
    <t>Solar driven chemistry: new materials for photo- and electro-catalysis (SMARTNESS)</t>
  </si>
  <si>
    <t>Università degli Studi di Mlano-Bicocca</t>
  </si>
  <si>
    <t xml:space="preserve">https://cercauniversita.cineca.it/php5/prin/cerca.php?codice=2015K7FZLH&amp;testo=hydrogen </t>
  </si>
  <si>
    <t>Towards a Sustainable Chemistry: Design of Innovative Metal-Ligand Systems for Catalysis and Energy Applications.</t>
  </si>
  <si>
    <t>Università degli Studi di MILANO</t>
  </si>
  <si>
    <t xml:space="preserve">https://cercauniversita.cineca.it/php5/prin/cerca.php?codice=20154X9ATP&amp;testo=hydrogen  </t>
  </si>
  <si>
    <t>BIOFEEDSTOCK - Developing integrated technological platforms for the valorization of residual biomasses</t>
  </si>
  <si>
    <t>EU funded</t>
  </si>
  <si>
    <t>Università degli Studi di Napoli Federico II</t>
  </si>
  <si>
    <t>Horizon 2020</t>
  </si>
  <si>
    <t xml:space="preserve">https://www.unitus.it/public/platforms/1/cke_contents/267/BIOFEEDSTOCK.pdf  ; https://www.hydrolabsrl.it/ricerca/ </t>
  </si>
  <si>
    <t>UNIHEMP – Use of Industrial Hemp Biomass for Energy and New Biochemicals Production</t>
  </si>
  <si>
    <t>1, 8, 11</t>
  </si>
  <si>
    <t>DHITECH Scarl – High Tech Technology District</t>
  </si>
  <si>
    <t>Public-private partnership; PON R&amp;I 2014-2020</t>
  </si>
  <si>
    <t xml:space="preserve">http://www.ponricerca.gov.it/comunicazione/example-projects/industrial-research-and-experimental-development-projects-in-the-12-specialization-areas/unihemp/ </t>
  </si>
  <si>
    <t>Energies for the Environment - TARANTO</t>
  </si>
  <si>
    <t>CNR - National Research Council</t>
  </si>
  <si>
    <t xml:space="preserve">http://www.ponricerca.gov.it/comunicazione/example-projects/industrial-research-and-experimental-development-projects-in-the-12-specialization-areas/energies-for-the-environment-taranto/ ; http://www.iccom.cnr.it/index.php/en/2016-02-04-09-37-25/projects/active-projects/452-pon-energies-for-the-environment-taranto </t>
  </si>
  <si>
    <t>Progetto Aerotrazione con BioCarburanti - ABC</t>
  </si>
  <si>
    <t>National</t>
  </si>
  <si>
    <t>MATTM</t>
  </si>
  <si>
    <t>https://sostenibilita.enea.it/projects/abc-0</t>
  </si>
  <si>
    <t>BIOMASS 2015 -Production of renewable energy with minimum impact from a mix of biomass and non-hazardous special waste through innovative processes</t>
  </si>
  <si>
    <t>National - Ministry of Economic Development (MISE)</t>
  </si>
  <si>
    <t>Ladurner S.p.A.</t>
  </si>
  <si>
    <r>
      <rPr>
        <u/>
        <sz val="11"/>
        <color rgb="FF1155CC"/>
        <rFont val="Arial"/>
        <family val="2"/>
      </rPr>
      <t>https://www.biomass2015.net/it/</t>
    </r>
    <r>
      <rPr>
        <sz val="11"/>
        <color theme="1"/>
        <rFont val="Calibri"/>
        <family val="2"/>
        <scheme val="minor"/>
      </rPr>
      <t xml:space="preserve"> </t>
    </r>
  </si>
  <si>
    <t>National - Ministry of University and Research (MIUR) - Ministry of Economic Development (MISE)</t>
  </si>
  <si>
    <t>BIT3G - THIRD GENERATION BIOREFINERY INTEGRATED INTO THE LOCAL AREA - CLUSTER GREENCHEM (COD. CTN01_00063_49295)</t>
  </si>
  <si>
    <t>Novamont</t>
  </si>
  <si>
    <t>Public-private partnership - NOP R&amp;I 2007-2013</t>
  </si>
  <si>
    <t xml:space="preserve">https://www.novamont.com/public/Bit3G/BIT3G_ENG.PDF </t>
  </si>
  <si>
    <t>REBIOCHEM - BIOCHEMICAL FROM BIOMASS: INTEGRATION OF BIOCONVERSIONS FOR THE PRODUCTION AND APPLICATION OF BIOCHEMICALS FROM 2ND GENERATION FEEDSTOCK FROM RENEWABLE RESOURCES - CLUSTER GREENCHEM (COD. CTN01_00063_49393)</t>
  </si>
  <si>
    <t>Mater-Biotech</t>
  </si>
  <si>
    <t>Public-private funding - NOP R&amp;I 2007-2014</t>
  </si>
  <si>
    <t xml:space="preserve">https://www.novamont.com/public/Rebiochem/REBIOCHEM_ENG.PDF </t>
  </si>
  <si>
    <t>ENERBIOCHEM - Eco-compatible processes of eNERgy and BIO-CHEMicals production from renewable sources and for the land valorisation</t>
  </si>
  <si>
    <t>http://www.ipcb.cnr.it/index.php/en/42-projects/ongoing-projects/558-enerbiochem</t>
  </si>
  <si>
    <t>BIO4BIO - BIOMOLECULAR AND ENERGETIC ENHANCEMENT OF RESIDUAL BIOMASS OF THE AGRO-INDUSTRIAL AND FISHING SECTOR</t>
  </si>
  <si>
    <t>8, 9</t>
  </si>
  <si>
    <t>CONSORZIO DI RICERCA PER L'INNOVAZIONE TECNOLOGICA SICILIA AGROBIO E PESCA ECOCOMPATIBILE S.C.A R.L.</t>
  </si>
  <si>
    <t xml:space="preserve">Public-private funding; National and European funding through structural funds </t>
  </si>
  <si>
    <t>https://opencoesione.gov.it/it/progetti/1misepon02_00451_33623761/</t>
  </si>
  <si>
    <t>BIOMASS HUB - Biomethane for a Sustainable Society: Development of an Italian Laboratory of Circular Economy from Biomethane</t>
  </si>
  <si>
    <t>1, 2, 9</t>
  </si>
  <si>
    <t>Region Lombardia</t>
  </si>
  <si>
    <t>AGROMATRICI S.r.l.</t>
  </si>
  <si>
    <t xml:space="preserve">Public funding; National and European funding through structural funds </t>
  </si>
  <si>
    <t xml:space="preserve">https://opencoesione.gov.it/en/progetti/6lo1165247/ </t>
  </si>
  <si>
    <t>WOOD-UP - Enhancement of the wood biomass gasification chain for energy, soil fertility and climate change mitigation</t>
  </si>
  <si>
    <t>Region Alto Adige - Sud Tirol</t>
  </si>
  <si>
    <t>Libera Università di Bozen</t>
  </si>
  <si>
    <t xml:space="preserve">Public funding; Regional, National and European funding through structural funds </t>
  </si>
  <si>
    <t>https://opencoesione.gov.it/it/progetti/6bofesr1028/</t>
  </si>
  <si>
    <t>FAST PIROLYSIS INDUSTRIAL REACTOR</t>
  </si>
  <si>
    <t>Region Veneto</t>
  </si>
  <si>
    <t>YTD SRL</t>
  </si>
  <si>
    <t>https://opencoesione.gov.it/en/progetti/7ve10231121/</t>
  </si>
  <si>
    <t>BIOENPRO4TO</t>
  </si>
  <si>
    <t>11, 12</t>
  </si>
  <si>
    <t>Region Piemonte</t>
  </si>
  <si>
    <t>SEA MARCONI TECHNOLOGIES DI VANDER TUMIATTI SAS</t>
  </si>
  <si>
    <t xml:space="preserve">Public-private funding; Regional, National and European funding through structural funds </t>
  </si>
  <si>
    <t>https://www.bioenpro4to.it/#</t>
  </si>
  <si>
    <t>RESEARCH PRODUCTION OF BIOENERGY FROM AGRICULTURAL WASTE AND AGRO-INDUSTRIAL BY-PRODUCTS</t>
  </si>
  <si>
    <t>National - Ministry of University and Research</t>
  </si>
  <si>
    <t>Università degli studi di Sassari</t>
  </si>
  <si>
    <t>Public funding; National cohesion fund</t>
  </si>
  <si>
    <t>https://opencoesione.gov.it/en/progetti/1miseaim1848200-1/</t>
  </si>
  <si>
    <t>AMBIC: efficient production of hydrolytic enzymes by filamentous fungi</t>
  </si>
  <si>
    <t>1</t>
  </si>
  <si>
    <t xml:space="preserve">Netherlands Enterprise Agency </t>
  </si>
  <si>
    <t>Stichting BE Basic</t>
  </si>
  <si>
    <t xml:space="preserve">Public-private;                            National funding               Competitive funding </t>
  </si>
  <si>
    <t>Algae Parc biorefinery, in pilot plant for extraction of proteins and carbohydrates from algue</t>
  </si>
  <si>
    <t>11</t>
  </si>
  <si>
    <t xml:space="preserve"> Wageningen University</t>
  </si>
  <si>
    <t xml:space="preserve">Demonstration of supercritical gasification of sewage sludge </t>
  </si>
  <si>
    <t>12</t>
  </si>
  <si>
    <t>Waterschap Aa en Maas</t>
  </si>
  <si>
    <t>TRL 7</t>
  </si>
  <si>
    <t>Demonstration of harvesting of alginate from sludge from waste water (Nereda)</t>
  </si>
  <si>
    <t>Waterschap Rijn en IJssel</t>
  </si>
  <si>
    <t xml:space="preserve"> TRL 7</t>
  </si>
  <si>
    <t>GENIAAL - biorefinery of manuare and digestate</t>
  </si>
  <si>
    <t>Groot Zevert Vergisting B.V.</t>
  </si>
  <si>
    <t>TRL 8</t>
  </si>
  <si>
    <t>Anaerobic digestion of chicken litter</t>
  </si>
  <si>
    <t>9</t>
  </si>
  <si>
    <t>Colsen, Adviesburo voor Milieutechniek B.V.</t>
  </si>
  <si>
    <t>Demonstrate the innovative Themista sludge pretreatment technology at the Kralingseveer wastewater treatment plant</t>
  </si>
  <si>
    <t>Hoogheemraadschap van Schieland en de Krimpenerwaard</t>
  </si>
  <si>
    <t xml:space="preserve">Supercritical gasification for syngas </t>
  </si>
  <si>
    <t>Demonstration Facility Alkmaar B.V.</t>
  </si>
  <si>
    <t>catalytic upgrading of pyrolysis oil</t>
  </si>
  <si>
    <t xml:space="preserve">B.T.G. </t>
  </si>
  <si>
    <t>small scale ORC : BioORC</t>
  </si>
  <si>
    <t>Tri-O-Gen B.V.</t>
  </si>
  <si>
    <t>Enhanced catalytic fast pyrolysis of biomass for maximum production of high-quality biofuels</t>
  </si>
  <si>
    <t>Universiteit Twente</t>
  </si>
  <si>
    <t>Pilot plant for direct conversion of sugarbeets into ethanol</t>
  </si>
  <si>
    <t>2</t>
  </si>
  <si>
    <t>DSD</t>
  </si>
  <si>
    <t>2018</t>
  </si>
  <si>
    <t>TRL 6</t>
  </si>
  <si>
    <t>BioJet Fuel</t>
  </si>
  <si>
    <t>Wageningen University</t>
  </si>
  <si>
    <t>TRL4</t>
  </si>
  <si>
    <t>Black birds - Combined thermochemical and catalytic processing adapted for the production of bio-SNG</t>
  </si>
  <si>
    <t xml:space="preserve"> TNO</t>
  </si>
  <si>
    <t>Hydrogen refueling based on electrochemical compressor</t>
  </si>
  <si>
    <t>7</t>
  </si>
  <si>
    <t>Hygear B.V.</t>
  </si>
  <si>
    <t>demonstrate a new and innovative full-scale purification technology for the processing of 175 ktonnes thin manure fraction / year (21 m3 / h)</t>
  </si>
  <si>
    <t>Ecoson B.V.</t>
  </si>
  <si>
    <t>HYDROGEN PRODUCTION FOM RESIDUAL BIOMASS in a gasification proces</t>
  </si>
  <si>
    <t>Bio Energy Netherlands B.V.</t>
  </si>
  <si>
    <t>Alkaliboost</t>
  </si>
  <si>
    <t>Nouryon Industrial Chemicals</t>
  </si>
  <si>
    <t>Electrochemistry to fuels and chemicals</t>
  </si>
  <si>
    <t>4</t>
  </si>
  <si>
    <t>Drop-in biofuel by catalytic hydrogenation of  pyrolyse oil in shipping</t>
  </si>
  <si>
    <t>Cost price reduction of bioenergy through Chemical Free Ammonium Recovery</t>
  </si>
  <si>
    <t>8</t>
  </si>
  <si>
    <t>Nijhuis Water Technology B.V.</t>
  </si>
  <si>
    <t>More green gas from mixed municipal waste</t>
  </si>
  <si>
    <t>Omrin</t>
  </si>
  <si>
    <t>NoChemNar; more efficient removal of ammonium in anaerobic digesters on a pilot scale</t>
  </si>
  <si>
    <t>Nijhuis Saur Industries B.V.</t>
  </si>
  <si>
    <t>TRL6</t>
  </si>
  <si>
    <t>VAMINE: small scale upgrading of biogas</t>
  </si>
  <si>
    <t>Cornelissen Consulting Services B.V.</t>
  </si>
  <si>
    <t>Co-Fluid Catalytic Cracking of Pyrolysis Liquids in Existing Refineries (CoRe)</t>
  </si>
  <si>
    <t>Rijksuniversiteit Groningen</t>
  </si>
  <si>
    <t>sustainable transport fuel by gasification of pyrolysis oil</t>
  </si>
  <si>
    <t>Sinne Wetterstof- pilot power2gas</t>
  </si>
  <si>
    <t>Alliander N.V.</t>
  </si>
  <si>
    <t>Green hydrogen in a flexible electricity grid</t>
  </si>
  <si>
    <t>Hysolar B.V.</t>
  </si>
  <si>
    <t>Pyrolyis oil Upgrading for the production of REnewable JETfuel</t>
  </si>
  <si>
    <t>Hydrogenation processing for Goldilocks resulting in biofuels</t>
  </si>
  <si>
    <t>Vertoro</t>
  </si>
  <si>
    <t>BIogas upgrading with CYCLic use of carbon dioxide and renewable Electricty for the production of methanol</t>
  </si>
  <si>
    <t>HoSt</t>
  </si>
  <si>
    <t>Renewable jet fuel range hydrocarbons from biomass residues derived lignin</t>
  </si>
  <si>
    <t>More Green Gas: more green gas production from biomass by demonstrating pre-treatment of the high solid fraction of digestate</t>
  </si>
  <si>
    <t>2021</t>
  </si>
  <si>
    <t>Digestion of low solid manure in a pilot scale plug flow reactor</t>
  </si>
  <si>
    <t>PosHYdon 1MW offshore green hydrogen</t>
  </si>
  <si>
    <t>Vereniging Nexstep</t>
  </si>
  <si>
    <t>TRL7</t>
  </si>
  <si>
    <t>Balance: CHP from low-value non-woody biomass</t>
  </si>
  <si>
    <t>2022</t>
  </si>
  <si>
    <t>Emmen electrolyser test centre</t>
  </si>
  <si>
    <t>Shell Global Solutions</t>
  </si>
  <si>
    <t>AmpHytrite; offshore off-grid Hydrogen Production</t>
  </si>
  <si>
    <t>Pondera Developtment</t>
  </si>
  <si>
    <t>DUWAAL, 5 MW PEM Electolyser</t>
  </si>
  <si>
    <t>Hygro Energy B.V.</t>
  </si>
  <si>
    <t>TRL8</t>
  </si>
  <si>
    <t>H2Hollandia, 5 MW PEM Electrolyser at Solar Field</t>
  </si>
  <si>
    <t>H2Hollandia</t>
  </si>
  <si>
    <t>Fuel Cell Giga Factory</t>
  </si>
  <si>
    <t>Nedstack Fuel Cell Technology</t>
  </si>
  <si>
    <t>IPCEI</t>
  </si>
  <si>
    <t>Holland Hydrogen 1</t>
  </si>
  <si>
    <t>Rotterdam Hydrogen Company</t>
  </si>
  <si>
    <t>H2ermes</t>
  </si>
  <si>
    <t>H2Ermes B.V.</t>
  </si>
  <si>
    <t>ELYgator</t>
  </si>
  <si>
    <t>Air Liquide Industrie B.V.</t>
  </si>
  <si>
    <t>H2-Fifty project</t>
  </si>
  <si>
    <t>H2-Fifty B.V.</t>
  </si>
  <si>
    <t>2023</t>
  </si>
  <si>
    <t>Curthyl</t>
  </si>
  <si>
    <t>Haddock</t>
  </si>
  <si>
    <t>Ørsted Hydrogen Netherlands</t>
  </si>
  <si>
    <t>HyNetherlands project</t>
  </si>
  <si>
    <t>Engie Energie Nederland B.V.</t>
  </si>
  <si>
    <t>Portugal</t>
  </si>
  <si>
    <t>OTIMBIO – Fomento da produção de energia através da otimização do uso de biomassa</t>
  </si>
  <si>
    <t>PO SEUR - Operational Programme for Sustainability and Efficient Use of Resources</t>
  </si>
  <si>
    <t xml:space="preserve">Direcão-Geral Energia e Geologia </t>
  </si>
  <si>
    <t>Develop</t>
  </si>
  <si>
    <t>National and European funding through structural funds                                       Competitive funding</t>
  </si>
  <si>
    <t>Hidrogénio- Avaliação do potencial e impacto do hidrogénio em Portugal – Estratégia para a sustentabilidade</t>
  </si>
  <si>
    <t>CONVERTE - Potencial Biomássico para Energia</t>
  </si>
  <si>
    <t>1, 8</t>
  </si>
  <si>
    <t>LNEG</t>
  </si>
  <si>
    <t>H"_PT-Avaliação do Potencial e Impacto do Hidrogénio como Vetor Energético_Potencial Tecnológico Nacional</t>
  </si>
  <si>
    <t>GREENFUEL-New processes of fuel production for road transportation</t>
  </si>
  <si>
    <t>Fundação para a Ciência e a Tecnologia</t>
  </si>
  <si>
    <t>CERENA</t>
  </si>
  <si>
    <t>Public;                                       national funding,                     institutional funding</t>
  </si>
  <si>
    <t>Green H2 production and storage</t>
  </si>
  <si>
    <t>RRP-Resilience and Recovery Plan</t>
  </si>
  <si>
    <t>HYCHEM</t>
  </si>
  <si>
    <t xml:space="preserve">National and European funding through structural funds; Competitive </t>
  </si>
  <si>
    <t xml:space="preserve">Green H2 production </t>
  </si>
  <si>
    <t>ELYPSE FIDALGA</t>
  </si>
  <si>
    <t>SmartEnergy</t>
  </si>
  <si>
    <t>Nydalen Energy</t>
  </si>
  <si>
    <t>Referencia Fluorescente</t>
  </si>
  <si>
    <t>EDP</t>
  </si>
  <si>
    <t>MOB H2 Verde</t>
  </si>
  <si>
    <t>CME</t>
  </si>
  <si>
    <t>Genese Natural</t>
  </si>
  <si>
    <t>Winds &amp; Constellations</t>
  </si>
  <si>
    <t>Fusion Fuel Portugal</t>
  </si>
  <si>
    <t>EWE CB H2</t>
  </si>
  <si>
    <t>REGANAZARE</t>
  </si>
  <si>
    <t>PTSUNHYDROGEN</t>
  </si>
  <si>
    <t>COURTESY POWER</t>
  </si>
  <si>
    <t>WT2X</t>
  </si>
  <si>
    <t xml:space="preserve">Biomethane production </t>
  </si>
  <si>
    <t>CAPWATT</t>
  </si>
  <si>
    <t>BIOJOULE ENERGY</t>
  </si>
  <si>
    <t>REASON WIND</t>
  </si>
  <si>
    <t>total</t>
  </si>
  <si>
    <t xml:space="preserve">public </t>
  </si>
  <si>
    <t>FLEXIWASTE DEVELOPMENT OF A FLEXIBLE VALORISATION PROCESS OF RESIDUES FOR THE PRODUCTION OF BIOFUELS</t>
  </si>
  <si>
    <t>Centre for the Development of Technology and Innovation (CDTI)</t>
  </si>
  <si>
    <t>Madrid, Castilla-La Mancha, Andalucía</t>
  </si>
  <si>
    <t>BIO-OILS HUELVA SL</t>
  </si>
  <si>
    <t xml:space="preserve">Public-Private                                                                    National funding;                                                                     Institutional funding (threshold requirement, loan)                               </t>
  </si>
  <si>
    <t>CARBOENERGY  CIRCULAR ECONOMY APPLIED TO THE EFFICIENT PRODUCTION OF BIOFUELS AND BIOENERGY</t>
  </si>
  <si>
    <t>2, 9</t>
  </si>
  <si>
    <t>Andalucia, Castilla-León</t>
  </si>
  <si>
    <t>KAURA COPRODUCT, S.L.</t>
  </si>
  <si>
    <t>Public-Private;                                                                    National funding;                                                                  Competitive funding</t>
  </si>
  <si>
    <t xml:space="preserve"> WASTE2BIO  VALORISATION OF URBAN WASTES TO NEW GENERATION OF BIOETHANOL</t>
  </si>
  <si>
    <t>Spain  (Comunidad Valenciana)</t>
  </si>
  <si>
    <t>INDUSTRIAS MECANICAS ALCUDIA, S.A.</t>
  </si>
  <si>
    <t>Public-Private;                                                                    Transnational funding (ERANETS);                                                                   Competitive funding</t>
  </si>
  <si>
    <t>TRANSITION TO OXY-FUEL COMBUSTION OF BIOMASS WITH CAPTURE AND STORAGE OF POLLUTANTS.</t>
  </si>
  <si>
    <t>State Research Agency</t>
  </si>
  <si>
    <t>Aragón</t>
  </si>
  <si>
    <t xml:space="preserve">CSIC (INSTITUTO DE CARBOQUIMICA (ICB)) </t>
  </si>
  <si>
    <t>Public-Public;                                                                    National funding;                                                                   Competitive (340 000)/Institutional funding (20 000)</t>
  </si>
  <si>
    <t>ELECTRIFYINGCO2; DIRECT CONVERSION OF CO2 INTO CHEMICAL ENERGY CARRIERS IN ELECTROCATALYTIC MEMBRANE REACTORS</t>
  </si>
  <si>
    <t>Spain (Comunidad Valenciana)</t>
  </si>
  <si>
    <t>CSIC - INSTITUTO DE TECNOLOGIA QUIMICA</t>
  </si>
  <si>
    <t>Public-Public;                                                                    National funding;                                                                   Competitive (300 000)/institutional funding (400 000)</t>
  </si>
  <si>
    <t xml:space="preserve">WASYNG: ADVANCED CHEMICAL PROCESSES FOR WASTE CONVERSION INTO SYNTHETIC NATURAL GAS </t>
  </si>
  <si>
    <t>PVC1 (?)</t>
  </si>
  <si>
    <t>CSIC (INSTITUTO DE CARBOQUIMICA (ICB)</t>
  </si>
  <si>
    <t>Public-Public;                                                                    National funding;                                                                   Competitive(250 000)/Institutional funding (200 000)</t>
  </si>
  <si>
    <t>BIOWASTEGAS :DEVELOPMENT OF FOUNTAIN CONFINED SPOUTED BED TECHNOLOGY FOR THE VALORIZATION OF BIOMASS AND WASTE BY STEAM GASIFICATION</t>
  </si>
  <si>
    <t>País Vasco</t>
  </si>
  <si>
    <t>UNIVERSIDAD PAIS VASCO</t>
  </si>
  <si>
    <t>Public-Public;                                                                    National funding;                                                                   Competitive(200 000)/Institutional funding (90 000)</t>
  </si>
  <si>
    <t xml:space="preserve">ELHYPORT - Hydrogen fuel cells with advanced membrane-electrode assemblies for their integration in low power and portable applications </t>
  </si>
  <si>
    <t>Madrid</t>
  </si>
  <si>
    <t>CIEMAT</t>
  </si>
  <si>
    <t>Public-public                                                                        National funding;                                                        Competitive (214 000)/Institutional funding (386 000)</t>
  </si>
  <si>
    <t>DEVELOPMENT OF AUTONOMOUS PLANTS FOR THE ENERGETIC VALORIZATION OF RESIDUES AND BY-PRODUCTS DERIVED FROM AGRICULTURAL AND / OR FOREST ACTIVITY IN SOLID BIOFUELS</t>
  </si>
  <si>
    <t>PRODESA MEDIOAMBIENTE, S.L.</t>
  </si>
  <si>
    <t xml:space="preserve">Public-Private;                                                                    National funding;                                                                     Institutional funding (threshold requirement, loan)                                     </t>
  </si>
  <si>
    <t xml:space="preserve">MECATEN: MECHANOCHEMICAL PREPARATION OF CATALYSTS FOR ENERGY APPLICATIONS: METHANE ACTIVATION AND HYDROGEN GENERATION </t>
  </si>
  <si>
    <t>HP1, PVC3</t>
  </si>
  <si>
    <t>Cataluña</t>
  </si>
  <si>
    <t>Universidad Politecnica de Catalunya - INSTITUTO DE TECNICAS ENERGETICAS (INTE)</t>
  </si>
  <si>
    <t>Public-Public;                                                                    National funding;                                                                   Competitive(250 000)/Institutional funding (40 000)</t>
  </si>
  <si>
    <t xml:space="preserve">INTENSIFICATION IN H2 PRODUCTION FROM BIO-OIL REFORMING IN FLUIDIZED BED: IN-SITU CO2 CAPTURE AND MEMBRANE REACTOR  </t>
  </si>
  <si>
    <t>HP1, PVC4</t>
  </si>
  <si>
    <t>Universidad de Pais Vasco- Departamento de Ciencia y Tecnología</t>
  </si>
  <si>
    <t>Public-Public;                                                                    National funding;                                                                   Competitive(280 000)/Institutional funding (10 000)</t>
  </si>
  <si>
    <t>IDITREC: INNOVATIVE DESIGN OF INTERMEDIATE TEMPERATURE REGENERATIVE ELECTROCHEMICAL CELLS</t>
  </si>
  <si>
    <t>CSIC-Instituto de Cerámica y Vidrio</t>
  </si>
  <si>
    <t>TRL 1-3</t>
  </si>
  <si>
    <t>Public-Public;                                                                    National funding;                                                                   Competitive(190 000)/Institutional funding (20 000)</t>
  </si>
  <si>
    <t>HYCOGEN: Efficient Clean Energy Generation System HYCOGEN</t>
  </si>
  <si>
    <t>JALVASUB ENGINEERING, S.L.</t>
  </si>
  <si>
    <t>Public-Private                                                                            National funding;                                                                   Competitive funding</t>
  </si>
  <si>
    <t xml:space="preserve">PENNYFUEL: Development of a sustainable strategy for the production of biofuel and other compounds of interest from a new plant species through innovative catalytic processes 
</t>
  </si>
  <si>
    <t>Aragón, Castilla-León, Extremadura, Madrid, Navarra</t>
  </si>
  <si>
    <t>PROCASE SEMILLAS S.L.</t>
  </si>
  <si>
    <t>CPV4H2: PILOT SYSTEM OF SOLAR HYDROGEN PRODUCTION  WITH HIGH EFFICIENCY CONVERSION THROUGH PHOTOVOLTAIC CONCENTRATION</t>
  </si>
  <si>
    <t>Spain -Castilla la Mancha, y Andalucia</t>
  </si>
  <si>
    <t>INSTITUTO DE SISTEMAS FOTOVOLTAICOS DE CONCENTRACION SA (ISFOC)</t>
  </si>
  <si>
    <t>Public-Private;                                                                    National funding;                                                                   Competitive funding</t>
  </si>
  <si>
    <t>SUN2HY DEVELOPMENT OF PHOTOELECTROCHEMICAL TECHNOLOGY FOR THE PRODUCTION OF HYDROGEN</t>
  </si>
  <si>
    <t>Spain -Madrid</t>
  </si>
  <si>
    <t>Repsol y ENAGAS</t>
  </si>
  <si>
    <t xml:space="preserve">Public-Private;                                                                    National funding;                                                                      Institutional funding (threshold requirement, loan)                                                              </t>
  </si>
  <si>
    <t>"ATMOSPHERE" NEW TECHNOLOGIES FOR STORAGE, GENERATION AND SAFETY OF GREEN HYDROGEN PLANTS</t>
  </si>
  <si>
    <t>IBERDROLA CLIENTES, S.A.</t>
  </si>
  <si>
    <t>Consortia formed by 7 entities: IBERDROLA
CLIENTES, IBERDROLA ENERGÍA ESPAÑA, INERCO, INGETEAM, IDESA, ABC COMPRESSORS and INNOMERICS</t>
  </si>
  <si>
    <t>"BIOENERGY" COST REDUCTION OF ENERGY GENERATION IN BIOMASS PLANTS BASED ON THE USE OF ADVANCED MATERIALS AND INTELLIGENT MONITORING SYSTEMS</t>
  </si>
  <si>
    <t>VALFORTEC POWER PLANTS, S.L</t>
  </si>
  <si>
    <t>Consortia formed by  6 entities: VALFORTEC POWER PLANTS, S.L.; VALFORTEC AUTOMATION;  INNOMAQ 21, S.L.; TALLERES MECANICOS COMAS, S.L.;  TRATAMIENTOS TERMICOS CARRERAS, S.A., and MUON Tomography Systems, S.L.</t>
  </si>
  <si>
    <t>"EFISOEC" INVESTIGACIÓN Y ANÁLISIS PARA EL DESARROLLO DE UNA TECNOLOGÍA SOEC PROPIA PARA LA GENERACIÓN DE SISTEMAS EFICIENTES DE PRODUCCIÓN DE HIDRÓGENO</t>
  </si>
  <si>
    <t>REPSOL, S.A.</t>
  </si>
  <si>
    <t>Consortia formed by 5 entities: REPSOL, S.A; TECNICAS REUNIDAS, SA; TUBACEX INNOVACION, SL; EPL Engineering S.L.; Zigor R&amp;D, S.L</t>
  </si>
  <si>
    <t>HIDRAM - DECARBONIZATION OF MARITIME TRANSPORT THROUGH STORAGE SOLUTIONS OF HYDROGEN THROUGH THE GENERATION OF GREEN AMMONIA AS MULTIPURPOSE FUEL</t>
  </si>
  <si>
    <t>ASTILLEROS DE 
MALLORCA, S.A.</t>
  </si>
  <si>
    <t>Consortia formed by 5 entities: Astilleros Mallorca, S.L.; Advanced Thermal Devices, S.L.; Francisco CARDAMA, S.A.; Jalvasub Engineering, S.L.; Ventor Innovation, S.L.</t>
  </si>
  <si>
    <t>VALORH2 - RESEARCH OF NEW TECHNOLOGIES, MATERIALS AND PROCESSES ASSOCIATED WITH THE HYDROGEN VALUE CHAIN</t>
  </si>
  <si>
    <t>HIPERBARIC, S.A.</t>
  </si>
  <si>
    <t>Consortia formed by 7 entities: HIPERBARIC, ACITURRI ENGINEERING SL; ADISSEO ESPAÑA SA;  M TORRES DISEÑOS INDUSTRIALES, S.A.;  DGH TECHNOLOGICAL SOLUTIONS SL; DESARROLLO DE MAQUINAS Y SOLUCIONES AUTOMATICAS SL (DESMASA) and ARIEMA ENERXIA, S.L.</t>
  </si>
  <si>
    <t>HY2DEC - RESEARCH INTO NEW TECHNOLOGIES FOR THE PRODUCTION AND USE OF GREEN HYDROGEN FOR THE DECARBONISATION OF INTENSIVE INDUSTRY IN SPAIN</t>
  </si>
  <si>
    <t>ACERIA ALAVA, S.A.</t>
  </si>
  <si>
    <t>Consortia formed by 7 entities: ACERIA DE ALAVA SA;  TECNICAS REUNIDAS SA; TORRECID SA; GHI HORNOS INDUSTRIALES SL; GECSA,CONDUCTORES Y CONEXIONES ESPECIALES SA; ORCHESTRA SCIENTIFIC SL; and KERIONICS SL</t>
  </si>
  <si>
    <t>GREEN HYCELL - DEVELOPMENT OF NEW PROTOTYPES OF GREEN HYDROGEN GENERATION SYSTEMS TO BOOST THE COMPETITIVENESS OF SPANISH INDUSTRY</t>
  </si>
  <si>
    <t xml:space="preserve"> INGENIERIA Y DISEÑO ESTRUCTURAL AVANZADO SL  (IDEA)</t>
  </si>
  <si>
    <t xml:space="preserve">Consortia formed by 7 entities:  IDEA, REGENERA LEVANTE, S.L; VODIK GREEN ENERGY SL; INDUSTRIAS GARITA,SL; and  VIELCA MEDIOAMBIENTE SL. </t>
  </si>
  <si>
    <t>HYSTORENEW: RESEARCH AND INTEGRATION OF THE SET OF TECHNOLOGIES AND PROCESSES INVOLVED IN THE INTRODUCTION OF GREEN HYDROGEN AS A STRATEGIC ENERGY VECTOR</t>
  </si>
  <si>
    <t>GREEN CAPITAL POWER, S.L</t>
  </si>
  <si>
    <t xml:space="preserve">Public-Private;                                                                    National funding (loan)             </t>
  </si>
  <si>
    <t>Consortia formed by 8 entities: GREEN CAPITAL POWER, S.L; AENA SME, S.A.; ALSA GROUP, S.L.; ARIEMA ENERGIA Y MEDIOAMBIENTE, S.L.; ENAGAS TRANSPORTE, S.A; IRIZAR S.COOP; RENAULT ESPAÑA, S.A.; TRESCA INGENIERIA, S.A.</t>
  </si>
  <si>
    <t>"DRAGO" GENERATION OF ADVANCED BIOFUELS FOR AVIATION THROUGH NEW PRODUCTION PROCESSES</t>
  </si>
  <si>
    <t>Spain/Madrid</t>
  </si>
  <si>
    <t>CEPSA, S.A.</t>
  </si>
  <si>
    <t>PRODUCTION OF AVIATION BIOFUELS AND CHEMICAL INTERMEDIATES VIA FISCHER-TROPSCH SYNTHESIS FROM LANDFILL BIOGAS</t>
  </si>
  <si>
    <t>Spain/Andalucía</t>
  </si>
  <si>
    <t>ENERGIA SUR DE EUROPA SOCIEDAD DE RESPONSABILIDAD LIMITADA</t>
  </si>
  <si>
    <t>"HFFABIOCOM.22": DEVELOPMENT OF A NEW ADVANCED BIOFUEL FROM REUSED OILS WITH HIGH FATTY ACID CONTENT</t>
  </si>
  <si>
    <t>Spain/Cdad.Valenciana</t>
  </si>
  <si>
    <t>BIOCOM ENERGIA SL</t>
  </si>
  <si>
    <t>"NANOBIOGASLIQUIFIER": NOVEL PROTOTYPE OF COMPACT AND EFFICIENT LIQUEFACTION PLANT FOR BIOGNL PRODUCTION</t>
  </si>
  <si>
    <t>HAM CRIOGENICA SL</t>
  </si>
  <si>
    <t xml:space="preserve">EVOLUTION OF SELF-REGENERATIVE ELECTROSTATIC FILTER PROTOTYPE FOR ITS INTEGRATION IN DOMESTIC BIOMASS BOILERS </t>
  </si>
  <si>
    <t>UNIVERSIDAD DE VIGO</t>
  </si>
  <si>
    <t xml:space="preserve">Public-Public;                                                                    National funding;                                                             </t>
  </si>
  <si>
    <t>BIOMASS VALORIZATION WITH CARBON-NEGATIVE THERMOCHEMICAL APPROACH BY MEANS OF PYROLYSIS</t>
  </si>
  <si>
    <t>UNIVERSIDAD DE ZARAGOZA</t>
  </si>
  <si>
    <t>BIOMASS AND WASTE AS PRECURSORS OF THE COUPLED PRODUCTION OF HYDROGEN AND METHANE IN THE NEW INDUSTRIAL ENERGY TRANSITION SCENARIO(ALL-TO-GAS)</t>
  </si>
  <si>
    <t>FUNDACION CARTIF</t>
  </si>
  <si>
    <t>Sustainable valorization of lignocellulosic waste into energy carriers (SusValEn)</t>
  </si>
  <si>
    <t>AGENCIA ESTATAL CONSEJO SUPERIOR DE INVESTIGACIONES CIENTIFICAS (CSIC)</t>
  </si>
  <si>
    <t xml:space="preserve">PRODUCTION OF SUSTAINABLE AVIATION FUELS FROM THE CONVERSION OF LIGNOCELLULOSIC PLATTFORM MOLECULES USING ADVANCED CATALYTIC SYSTEMS </t>
  </si>
  <si>
    <t>Spain- Madrid</t>
  </si>
  <si>
    <t>UNIVERSIDAD REY JUAN CARLOS</t>
  </si>
  <si>
    <t>PIROLISIS AUTOTERMICA DE LA FRACCION PLASTICA DE RECHAZO (MPW) PARA LA PRODUCCION DE COMBUSTIBLES SOSTENIBLES DE ALTA CALIDAD</t>
  </si>
  <si>
    <t>Spain - Aragón</t>
  </si>
  <si>
    <t>CO-HYDROPROCESSING OF PLASTICS PYROLYSIS OIL AND BIO-OIL WITH INTERMEDIATE REFINERY STREAMS (VGO)</t>
  </si>
  <si>
    <t>Spain - Pais Vasco</t>
  </si>
  <si>
    <t>UNIVERSIDAD DEL PAIS VASCO EUSKAL HERRIKO UNIBERTSITATEA</t>
  </si>
  <si>
    <t>DEVELOPMENT OF ADVANCE STRATEGIES FOR BIOMASS COMBUSTION IN LARGE-SCALE APPLICATIONS THROUGH EXPERIMENTAL AND MODELING</t>
  </si>
  <si>
    <t>Spain - Galicia</t>
  </si>
  <si>
    <t>PROMOTED CONVERSION OF A CARBON FREE FUEL: NH3</t>
  </si>
  <si>
    <t>DEVELOPMENT OF CAPILLARY SOLVATION METHODS TO CONTROL CATALYTIC CO2 AND CH4 TO METHANOL REACTIONS</t>
  </si>
  <si>
    <t>CARBON EMISSIONS TO METHANOL, OPTIMIZATION PROCESS FOR RENEWABLE AND SUSTAINABLE PRODUCTION.</t>
  </si>
  <si>
    <t>FUNDACIÓN PARA EL DESARROLLO DE NUEVAS TECNOLOGÍAS DEL HIDRÓGENO EN ARAGÓN</t>
  </si>
  <si>
    <t>MULTICATALYTIC PLATFORM FOR THE DIRECT CONVERSION OF CO2 INTO SYNTHETIC CARBON-NEUTRAL FUELS</t>
  </si>
  <si>
    <t>Spain - Navarra</t>
  </si>
  <si>
    <t>UNIVERSIDAD PUBLICA DE NAVARRA</t>
  </si>
  <si>
    <t xml:space="preserve">SUSTAINABLE PRODUCTION OF BIOJET-FUEL THROUGH CATALYTIC PROCESSES </t>
  </si>
  <si>
    <t>DATA-DRIVEN BIOENERGY SOLUTIONS FOR DECARBONIZATION OF THE ENERGY SYSTEM</t>
  </si>
  <si>
    <t>Spain - Asturias</t>
  </si>
  <si>
    <t xml:space="preserve">MODULAR BIOENERGY SYSTEMS </t>
  </si>
  <si>
    <t>Spain - Madrid</t>
  </si>
  <si>
    <t>UNIVERSIDAD CARLOS III DE MADRID</t>
  </si>
  <si>
    <t>RECYCLING OF WASTE PLASTICS BY CATALYTIC FAST PYROLYSIS ON FCC SPENT CATALYSTS IN A FOUNTAIN CONFINED CONICAL SPOUTED BED REACTOR</t>
  </si>
  <si>
    <t>INVESTIGATION AND DEVELOPMENT OF A NEW COMPACT BIOMASS COMBUSTION PROCESS FOR THE TREATMENT OF ORGANIC MATERIALS OF PLANT ORIGIN</t>
  </si>
  <si>
    <t>Spain - Comunidad Valenciana</t>
  </si>
  <si>
    <t>INGENEO EQUIPOS INDUSTRIALES SL</t>
  </si>
  <si>
    <t xml:space="preserve">Public-Private;                                                                    National funding (loan)                                                                     </t>
  </si>
  <si>
    <t>BIOIA - DESIGN OF A COMPACT PLANT FOR BIOGAS TO BIOMETHANE TREATMENT WITH INTEGRATION OF AN ARTIFICIAL INTELLIGENCE SYSTEM OF AUTOMATED SELF-MANAGEMENT AND SELF-ADAPTIVE LEARNING TO ITS FINAL DESTINATION</t>
  </si>
  <si>
    <t>Spain - Cataluña</t>
  </si>
  <si>
    <t>ECOLOGIA TECNICA SA</t>
  </si>
  <si>
    <t>CLEANBIOGAS - RESEARCH AND DEVELOPMENT OF A NEW SOLUTION FOR THE BIOGAS CLEANING AND ENRICHMENT</t>
  </si>
  <si>
    <t>PLASTICOS Y POLIESTER DIMASA</t>
  </si>
  <si>
    <t>C-ICE-BIOHYDRO - INVESTIGATION INTO THE USE OF “BIOYDRO-GAS” IN AN ULTRA-EFFICIENT CARNOT CERAMIC ENGINE</t>
  </si>
  <si>
    <t>MAGNA DEA, S.L.</t>
  </si>
  <si>
    <t>EUROSTARS PROGRAMME</t>
  </si>
  <si>
    <t>PHOTOHY - WHITE HYDROGEN PHOTOCATALYSIS POWER</t>
  </si>
  <si>
    <t>INAEL ELECTRICAL SYSTEMS SA</t>
  </si>
  <si>
    <t>Consortia formed by 3 entities: Inael Electrical Systems SA KERIONIC, S.L.; y TEWER Engineering, S.L.</t>
  </si>
  <si>
    <t>ECLOSION - NEW MATERIALS, TECHNOLOGIES AND PROCESSES FOR THE GENERATION, STORAGE, TRANSPORT AND INTEGRATION OF RENEWABLE HYDROGEN AND BIOMETHANE FROM BIOWASTE</t>
  </si>
  <si>
    <t>FCC AQUALIA, S.A.</t>
  </si>
  <si>
    <t>Consortia formed by 8 entities: FCC Aqualia, S.A.; Ariema Enerxia, S.L.; CADE Soluciones de ingenieria, S.L,; FCC Medio Ambiente, SAU; GHENOVA Ingenieria, S.L; H2B2 Electrolysis Technologies, SL; Investigación y Desarrollo Castilla y León SL; Mind Caps Smart Supercapacitor,S.L.</t>
  </si>
  <si>
    <t>ZEPPELIN - RESEARCH IN INNOVATIVE AND EFFICIENT TECHNOLOGIES FOR THE PRODUCTION AND STORAGE OF GREEN HYDROGEN BASED ON THE CIRCULAR ECONOMY</t>
  </si>
  <si>
    <t>Consortia formed by 8 entities: FCC Aqualia, S.A.; Naturgy Nuevas Energías, S.L; Norvento, S.L.; Perseo Biotechnologies, S.L.; Redexis, S.A; Reganosa Servicios S.L.; Repsol, S.A.; Tecnicas Reunidas, S.A.</t>
  </si>
  <si>
    <t>GREENH2PIPES - DEVELOPMENT OF INNOVATIVE COMPONENTS FOR HYDROGEN GENERATION BY ELECTROLYSIS, GAS GRID INJECTION AND TRANSPORT BY LIQUID CARRIERS</t>
  </si>
  <si>
    <t>ENAGAS TRANSPORTE, S.A.</t>
  </si>
  <si>
    <t>Consortia formed by 8 entities: ENAGAS Transporte, S.A.; AMES PM Tech Center, S.A.; Estamp, S.A.; Exolum Solutiones, S.L.; H2Greem Global Solutions, S.L.; H2 Onsite, S.L.; NANO4Energy SLNE; Rovalma, S.A.</t>
  </si>
  <si>
    <t>R&amp;I activities</t>
  </si>
  <si>
    <t>Targets addressed</t>
  </si>
  <si>
    <t>Source: https://www.energimyndigheten.se/forskning-och-innovation/projektdatabas/sokresultat/?registrationnumber=2015-006853</t>
  </si>
  <si>
    <t>Renfuel - a chain link from black liqour to green gasoline and diesel</t>
  </si>
  <si>
    <t>1, 11</t>
  </si>
  <si>
    <t>Swedish Energy Agency</t>
  </si>
  <si>
    <t>Sven Löchen, Renfuel K2B AB</t>
  </si>
  <si>
    <t>Biofuels from black liqour lignin intregrated with a pulping plant. Pilot tests at a scale of 10 kg/h will be performed for the whole process.</t>
  </si>
  <si>
    <t>Anders Hultgren, SCA Energy AB</t>
  </si>
  <si>
    <t>Industrial co-processing of pyrolysis oil in a refinery</t>
  </si>
  <si>
    <t>2, 12</t>
  </si>
  <si>
    <t>Olov Öhrman, Preem</t>
  </si>
  <si>
    <t>Recieved funding</t>
  </si>
  <si>
    <t>Co-financing</t>
  </si>
  <si>
    <t>Swedish Gasification Center</t>
  </si>
  <si>
    <t>Joakim Lundgren, Luleå University of Technology</t>
  </si>
  <si>
    <t>Ethanol arena  (Ethadrive)</t>
  </si>
  <si>
    <t>PVC5 and/or EVC3</t>
  </si>
  <si>
    <t>Peter Henriksson, Scania Sverige AB</t>
  </si>
  <si>
    <t>Effective systems integration of Swedish forest biomass-based production of biojet fuels</t>
  </si>
  <si>
    <t>Lunds universitet</t>
  </si>
  <si>
    <t>Fossilfritt flyg 2045</t>
  </si>
  <si>
    <t>Sökresultat (energimyndigheten.se)</t>
  </si>
  <si>
    <t>Project AIR – CCU med vätgaselektrolys för produktion av hållbar metanol</t>
  </si>
  <si>
    <t>7, 4</t>
  </si>
  <si>
    <t>Perstorp Oxo AB</t>
  </si>
  <si>
    <t>Industriklivet</t>
  </si>
  <si>
    <t>Feasibility study and preparation for investment of Bio-CCS at Hedensbyn CHP plant</t>
  </si>
  <si>
    <t>Skellefteå Kraftaktiebolag</t>
  </si>
  <si>
    <t>Fossil free SAR Helicopters 2045 - a pilo</t>
  </si>
  <si>
    <t>Sjöfartsverket</t>
  </si>
  <si>
    <t>Sulfur-Free MARine LIgnin FuEls (SMARt LIFE)</t>
  </si>
  <si>
    <t>SVERIGES LANTBRUKSUNIVERSITET</t>
  </si>
  <si>
    <t>Förnybara drivmedel och system, 2018-2021</t>
  </si>
  <si>
    <t>TexJet -Aviation fuel components from waste textiles</t>
  </si>
  <si>
    <t>ShareTex AB</t>
  </si>
  <si>
    <t>https://www.energimyndigheten.se/forskning-och-innovation/projektdatabas/sokresultat/?registrationnumber=2021-015993</t>
  </si>
  <si>
    <t>Numerical studies of performance variations in the combustion of 100% biojet fuel in a jet engine</t>
  </si>
  <si>
    <t>https://www.energimyndigheten.se/forskning-och-innovation/projektdatabas/sokresultat/?registrationnumber=2021-016132</t>
  </si>
  <si>
    <t>OxyCar-FBC, Oxygen Carriers in Fluidized Bed Combustion of Biomass ....</t>
  </si>
  <si>
    <t>Chalmers Tekniska Högskola Aktiebolag</t>
  </si>
  <si>
    <t>ERA-NET Bioenergy</t>
  </si>
  <si>
    <t>https://www.energimyndigheten.se/forskning-och-innovation/projektdatabas/sokresultat/?registrationnumber=2016-010780</t>
  </si>
  <si>
    <t>Effektivare biodrivmedelsproduktion genom fraktionering av pyrolysolja och uppgradering av fraktionerna</t>
  </si>
  <si>
    <t>RISE INNVENTIA AB</t>
  </si>
  <si>
    <t>Biodrivmedelsprogrammet</t>
  </si>
  <si>
    <t>Advanced catalytic materials for upgrading of lignin derived bio-oils to biofuels</t>
  </si>
  <si>
    <t>Biodrivmedelsprogram - Termokemiska processer</t>
  </si>
  <si>
    <t>Process technology for production of advanced biofuels from lignin</t>
  </si>
  <si>
    <t>SCA Energy AB</t>
  </si>
  <si>
    <t>Biomethane conversion of waste lignin: expanding use of lignocellulosic residues</t>
  </si>
  <si>
    <t>Catalyst lifetime optimization for lignin-based feedstocks using graded bed technology</t>
  </si>
  <si>
    <t>Ren Fuel K2B AB</t>
  </si>
  <si>
    <t>https://www.energimyndigheten.se/forskning-och-innovation/projektdatabas/sokresultat/?registrationnumber=2020-015765</t>
  </si>
  <si>
    <t>Increased production of biogas through industrial symbiosis – co-digestion of steam pretreated straw and sewage sludge</t>
  </si>
  <si>
    <t>Increasing bio-oil yield and quality in fast pyrolysis of ash-rich forest residues through novel in-situ ash management</t>
  </si>
  <si>
    <t>Luleå tekniska universitet</t>
  </si>
  <si>
    <t>Cellmembran som ett nytt mål för design av mikrobiella stammar för biobränsletillverkning - undersökning av förhållandet mellan membransammansättningen och membran permeabiliteten</t>
  </si>
  <si>
    <t>Thermochemical co-production in the combined heat and power sector</t>
  </si>
  <si>
    <t>BioShare AB</t>
  </si>
  <si>
    <t>https://www.energimyndigheten.se/forskning-och-innovation/projektdatabas/sokresultat/?registrationnumber=2020-012573</t>
  </si>
  <si>
    <t>Syngas electrofermentations for efficient conversion of lignocellulose into biofuels</t>
  </si>
  <si>
    <t>Nydanande och behovsmotiverad FoU med energirelevans</t>
  </si>
  <si>
    <t>Bio-electro-fuels - technology that can offer improved resource efficiency</t>
  </si>
  <si>
    <t>Sustainable Energy Transformations in Aviation (SETA)</t>
  </si>
  <si>
    <t>Kungliga Tekniska Högskolan</t>
  </si>
  <si>
    <t>Forskarskolan Energisystem etapp 2</t>
  </si>
  <si>
    <t>Increased flexibility and power-production from biomass through material development and corrosion prediction</t>
  </si>
  <si>
    <t>Biokraft – el och värme från termisk omvandling av biobränsle och avfall</t>
  </si>
  <si>
    <t>Routes for production of transportation fuels via deoxygenated biooil</t>
  </si>
  <si>
    <t>Förnybara drivmedel och system, 2018-2022</t>
  </si>
  <si>
    <t>Self-learning laser-based process diagnostics for optimizing bio-based heat and electricity production</t>
  </si>
  <si>
    <t>RISE Energy Technology Center AB</t>
  </si>
  <si>
    <t>Oxygen Carrier Aided Combustion for more efficient fuel conversion in FB plants with simultaneous recovery of alkali compound</t>
  </si>
  <si>
    <t>SYNTES – System analysis, technology development and industrial component development, Phase 2</t>
  </si>
  <si>
    <t>Phoenix Biopower AB (publ)</t>
  </si>
  <si>
    <t>Continuous processing of biofuel and biochemical production using membrane processes</t>
  </si>
  <si>
    <t>BTC Pilot Feasibility Study</t>
  </si>
  <si>
    <t>Pilot och demonstration</t>
  </si>
  <si>
    <t>Engineering improved stability and substrate binding into enzymes for efficient hydrolysis of lignocellullosic biomass.</t>
  </si>
  <si>
    <t>Energiriktad grundforskning 2019</t>
  </si>
  <si>
    <t>Från lignin till biobränslen och specialkemikalier: En studie av alkoholers effekter som ”radikalstabilisator” i kritiskt vatten vid hydrotermisk förvätskning (HTL) av LignoBoost ™ sulfatlignin</t>
  </si>
  <si>
    <t>Bark conversion into green fuels (BarkGF)</t>
  </si>
  <si>
    <t>Biomassa för energi och material</t>
  </si>
  <si>
    <t>Feasibility study for carbon dioxide separation at biofuel-fired CHP plants (BECCS)</t>
  </si>
  <si>
    <t>Stockholm Exergi AB</t>
  </si>
  <si>
    <t>Integrated production of pyrolysis oil in existing combined heat and power plants – a systems study</t>
  </si>
  <si>
    <t>Development of optimal regulation for efficient combustion of ash rich biomass (II)</t>
  </si>
  <si>
    <t>BTC Pilot Plant Project, Feasibility Phase</t>
  </si>
  <si>
    <t>Flexible combined heat and power plants for future energy and climate services</t>
  </si>
  <si>
    <t>Biofuel from agricultural side streams and straw in a system perspective</t>
  </si>
  <si>
    <t>RISE Research Institutes of Sweden AB</t>
  </si>
  <si>
    <t>Resource efficient electricity production using ORC-technology in district heating plants and waste water treatment facilities</t>
  </si>
  <si>
    <t>Energiforsk AB</t>
  </si>
  <si>
    <t>Catalytic guard beds for improved efficiency for bio-fuel production</t>
  </si>
  <si>
    <t>SEGRABIO - Second grade biomass for biofuels</t>
  </si>
  <si>
    <t>Clean and flexible use of new difficult biomass fuels in small to medium-scale combustion (BIOFLEX!)</t>
  </si>
  <si>
    <t>Advancing carbon dioxide valorization towards alcohols using bioelectrochemical synthesis</t>
  </si>
  <si>
    <t>Nyfikenhetsdriven forskning för ett hållbart energisystem</t>
  </si>
  <si>
    <t>Sustainable aviation fuel from thermocatalytic conversion of forest residues</t>
  </si>
  <si>
    <t>Green hydrogen and oxygen for heating steel, demonstration</t>
  </si>
  <si>
    <t>Ovako Sweden AB</t>
  </si>
  <si>
    <t>Hydrogen as an energy storage, infrastructure, fuel for electric vehicles and hydrogen vehicles</t>
  </si>
  <si>
    <t>Hydrogenfarm AB</t>
  </si>
  <si>
    <t>Europeiska regionala utvecklingsfonden - Program för projekt inom Energipilot Gotland</t>
  </si>
  <si>
    <t>Basic technical planning (FEED study) of a large-scale electrolysis plant</t>
  </si>
  <si>
    <t>H2GS AB</t>
  </si>
  <si>
    <t>HYBRIT Pilotprojekt - Fossil-free Gas heating</t>
  </si>
  <si>
    <t>HYBRIT Development AB</t>
  </si>
  <si>
    <t>HYBRIT Demonstration plant for hydrogen based direct reduction – Feasability Study</t>
  </si>
  <si>
    <t>https://www.energimyndigheten.se/forskning-och-innovation/projektdatabas/sokresultat/?registrationnumber=2020-019555</t>
  </si>
  <si>
    <t>Hydrogen from Biomass Pyrolysis- Enhanced Catalytic Steam Reforming for sustainable transport</t>
  </si>
  <si>
    <t>Program för planeringsbidrag</t>
  </si>
  <si>
    <t>NordicJet - Technology validation of key stages in a process from wood to biojet</t>
  </si>
  <si>
    <t>RISE Processum AB</t>
  </si>
  <si>
    <t>Green hydrogen from forest products through energy efficient electrolysis</t>
  </si>
  <si>
    <t>Bioenergins roll för att nå de energi- och klimatpolitiska målen – analys av en föränderlig funktion i ett dynamiskt energisystem</t>
  </si>
  <si>
    <t>P2021-00045</t>
  </si>
  <si>
    <t>Budgets in SEK</t>
  </si>
  <si>
    <t>Fossilfri grafit</t>
  </si>
  <si>
    <t>P2021-00048</t>
  </si>
  <si>
    <t>Nya energi- och resurseffektiva värdekedjor genom samförbränning av stråbränslen och slam</t>
  </si>
  <si>
    <t>P2021-00054</t>
  </si>
  <si>
    <t>Intensiv skörd av biomassa från skogsekosystem och behov av näringskompensation – ny kunskap till riktlinjer för hållbart biomassauttag</t>
  </si>
  <si>
    <t>STIFT SKOGSBRUKETS FORSKNINGSINSTITUT, SKOGFORSK</t>
  </si>
  <si>
    <t>P2021-00055</t>
  </si>
  <si>
    <t>Uthållig odling av rotskottföryngrad hybridasp</t>
  </si>
  <si>
    <t>P2021-00065</t>
  </si>
  <si>
    <t>Systemanalys av biomassa och koldioxidavskiljning över energisektorerna</t>
  </si>
  <si>
    <t>P2021-00067</t>
  </si>
  <si>
    <t>Hållbar och kostnadseffektiv produktion av biobaserade bränslen och kemikalier via slurry-vätebehandling av restprodukter från skogsbruk</t>
  </si>
  <si>
    <t>P2021-00071</t>
  </si>
  <si>
    <t>Green2Feed – Hållbar djurfoder och biogas från gröna blad</t>
  </si>
  <si>
    <t>P2021-00080</t>
  </si>
  <si>
    <t>Katalytisk produktion av gröna estrar från biomassa i ett bioraffinaderikontext</t>
  </si>
  <si>
    <t>P2021-00082</t>
  </si>
  <si>
    <t>En flexibel bioekonomi – nyckelfaktor för att möjliggöra investeringar i bioraffinaderier</t>
  </si>
  <si>
    <t>P2021-00083</t>
  </si>
  <si>
    <t>From forest to low GHG jet biofuels by a developed catalytic pyrolysis technology</t>
  </si>
  <si>
    <t>P2021-00086</t>
  </si>
  <si>
    <t>Kostnader för att reducera utsläpp av växthusgaser från väg- och flygtransporter med biodrivmedel och elektrobränslen</t>
  </si>
  <si>
    <t>IVL Svenska Miljöinstitutet AB</t>
  </si>
  <si>
    <t>P2021-00091</t>
  </si>
  <si>
    <t>Biogasscenarier</t>
  </si>
  <si>
    <t>Linköpings Universitet</t>
  </si>
  <si>
    <t>P2021-00098</t>
  </si>
  <si>
    <t>Large scale deodorization of kraft lignin for thermoplastics – a new testbed</t>
  </si>
  <si>
    <t>P2021-00099</t>
  </si>
  <si>
    <t>Incheckning: fukthalt - radiovågsbaserad ankomstmätning av rundvirkes- och flisbilar</t>
  </si>
  <si>
    <t>P2021-00100</t>
  </si>
  <si>
    <t>Validering av biokols stabilitet - mot en ny kunskaps- och trovärdighetsnivå</t>
  </si>
  <si>
    <t>P2021-00117</t>
  </si>
  <si>
    <t>Utveckling av processdiagnostik för ökad prestanda vid termisk omvandling av biomassa</t>
  </si>
  <si>
    <t>P2021-00128</t>
  </si>
  <si>
    <t>Utveckla och förbereda kommersialisering av det ytaktiva ämnet natrium-suberin hydrolysat från industriell björkbark.</t>
  </si>
  <si>
    <t>pSk earth adaption AB</t>
  </si>
  <si>
    <t>P2021-00129</t>
  </si>
  <si>
    <t>Bioflex – biobaserade energibärares bidrag till ett flexibelt energisystem</t>
  </si>
  <si>
    <t>P2021-00130</t>
  </si>
  <si>
    <t>Ligninbaserade batterier</t>
  </si>
  <si>
    <t>P2021-00137</t>
  </si>
  <si>
    <t>Träpulvereldning i direktuppvärmda spannmålstorkar för ökad resurseffektivitet och fossilfrihet</t>
  </si>
  <si>
    <t>P2021-00144</t>
  </si>
  <si>
    <t>BioBas30 - Innovationskluster för en biobaserad bygg- &amp; anläggningssektor 2030</t>
  </si>
  <si>
    <t>Lokal färdplan Malmö 2030 Ekonomisk förening</t>
  </si>
  <si>
    <t>P2021-00288</t>
  </si>
  <si>
    <t>Innovationskluster för hållbara biodrivmedel</t>
  </si>
  <si>
    <t>Stiftelsen Chalmers Industriteknik</t>
  </si>
  <si>
    <t>P2021-00290</t>
  </si>
  <si>
    <t>Innovationsklustret Gröna Organiska ElenergiSystem (iGOES) – etablering och genomförande av ett nationellt innovationskluster för grön hållbar energi  från organiska elektriska energisystem</t>
  </si>
  <si>
    <t>Norrköping Science Park AB</t>
  </si>
  <si>
    <t>P2021-00292</t>
  </si>
  <si>
    <t>Standardisering Flytande och gasformiga bränslen samt smörjmedel</t>
  </si>
  <si>
    <t>SVENSKA INSTITUTET FÖR STANDARDER</t>
  </si>
  <si>
    <t>P2021-00296</t>
  </si>
  <si>
    <t>Standardisering av fasta bränslen</t>
  </si>
  <si>
    <t>P2021-00312</t>
  </si>
  <si>
    <t>Utveckling av affärsidéer för kommersialisering av Votions biobaserade lösningar och värdekedjor</t>
  </si>
  <si>
    <t>Votion Biorefineries AB</t>
  </si>
  <si>
    <t>P2022-00508</t>
  </si>
  <si>
    <t>Resurseffektiva värdekedjor genom askåterföring till snabbväxande lövträd för ökad biomassaproduktion.</t>
  </si>
  <si>
    <t>P2022-00524</t>
  </si>
  <si>
    <t>Gråal som en potential för ökad energiinriktad produktion i Sverige – Utvärdering av avkommeförsök och omställning till långsiktiga produktions- och skötselförsök</t>
  </si>
  <si>
    <t>P2022-00533</t>
  </si>
  <si>
    <t>Smart lagring och tillförsel av halm till bioraffinaderi</t>
  </si>
  <si>
    <t>P2022-00536</t>
  </si>
  <si>
    <t>ECO-FORCE FUELS:EKO-effektivt bioraffinaderi för konkurrenskraftig produktion av gröna förnybara marina drivmedel</t>
  </si>
  <si>
    <t>P2022-00537</t>
  </si>
  <si>
    <t>Sveriges riksbank sitt valutakurs mellom 2022-0103 - 2023-2306, kvartalsvis medel:</t>
  </si>
  <si>
    <t>Kreativ uppbyggnad av defossiliserade värdekedjor-CROSS</t>
  </si>
  <si>
    <t>P2022-00538</t>
  </si>
  <si>
    <t>Produktion av vätgas och biokol från trädbränslen med ny process som utnyttjar steam-iron-reaktionen och järnmalmskoncentrat</t>
  </si>
  <si>
    <t>P2022-00544</t>
  </si>
  <si>
    <t>Nästa generations övervakning av biogasanläggningar med AI - för förbättrad effektivitet och resursutnyttjande</t>
  </si>
  <si>
    <t>P2022-00552</t>
  </si>
  <si>
    <t>Järnsand som bäddmaterial för fluidbäddförbränning</t>
  </si>
  <si>
    <t>P2022-00557</t>
  </si>
  <si>
    <t>Hållbara flygbränslen från termokatalytisk uppgradering av lignin och ligninderivativ: utveckling av bioraffinaderikatalysatorer och reaktionssystem</t>
  </si>
  <si>
    <t>P2022-00558</t>
  </si>
  <si>
    <t>Effektiv produktion av hårt kol från modifierat lignin</t>
  </si>
  <si>
    <t>Uppsala universitet</t>
  </si>
  <si>
    <t>P2022-00559</t>
  </si>
  <si>
    <t>avg</t>
  </si>
  <si>
    <t>Energieffektivare virkestorkning vid sågverken</t>
  </si>
  <si>
    <t>P2022-00566</t>
  </si>
  <si>
    <t>Framtidens biodrivmedelsproduktion i EU – potentialer, tekniker, och styrmedel</t>
  </si>
  <si>
    <t>P2022-00567</t>
  </si>
  <si>
    <t>Ändamålsenlig biobränsleproduktion och logistik på terminaler och vid industri</t>
  </si>
  <si>
    <t>P2022-00568</t>
  </si>
  <si>
    <t>Bioraffinering av bark vid biokemisk konvertering och i skogsindustriella processer</t>
  </si>
  <si>
    <t>Umeå universitet</t>
  </si>
  <si>
    <t>P2022-00569</t>
  </si>
  <si>
    <t>Effektiv syntesgasrötning av förgasad träråvara</t>
  </si>
  <si>
    <t>Baltic Energy Innovation Centre Ek. för.</t>
  </si>
  <si>
    <t>P2022-00570</t>
  </si>
  <si>
    <t>Bioraffinaderi: uppskalning av 5-HMF-derivat</t>
  </si>
  <si>
    <t>P2022-00572</t>
  </si>
  <si>
    <t>Framställning, struktur och tillämpning av bio-bindemedel för elektroder och eldfasta material inom metallurgisk processindustri</t>
  </si>
  <si>
    <t>P2022-00579</t>
  </si>
  <si>
    <t>Alla värdens skog - metoder för inventering och värdering av skogens olika nyttor</t>
  </si>
  <si>
    <t>P2022-00584</t>
  </si>
  <si>
    <t>BioKraft2023</t>
  </si>
  <si>
    <t>P2022-00586</t>
  </si>
  <si>
    <t>CelluXtreme - Genomförbarhetsstudie för uppskalning</t>
  </si>
  <si>
    <t>CelluXtreme AB</t>
  </si>
  <si>
    <t>P2022-00596</t>
  </si>
  <si>
    <t>Biobaserad Värmeöverföringsvätska</t>
  </si>
  <si>
    <t>Biobase Sweden AB</t>
  </si>
  <si>
    <t>P2022-00597</t>
  </si>
  <si>
    <t>Utvärdering av industriell symbios mellan vattenbruk och vätgasanläggning i Alby</t>
  </si>
  <si>
    <t>BIG Akwa AB</t>
  </si>
  <si>
    <t>P2022-00599</t>
  </si>
  <si>
    <t>FOUNDATIONS</t>
  </si>
  <si>
    <t>P2022-00600</t>
  </si>
  <si>
    <t>Resurseffektiv förädling av restström i anslutning till tillverkning av kortfibermassa</t>
  </si>
  <si>
    <t>Reselo AB</t>
  </si>
  <si>
    <t>P2022-00601</t>
  </si>
  <si>
    <t>Förstudie till projekt med syfte att kommersialisera en industriell torkprocess baserad på mikrovågsteknik</t>
  </si>
  <si>
    <t>MicroDri AB</t>
  </si>
  <si>
    <t>P2022-00602</t>
  </si>
  <si>
    <t>Beslutsunderlag för kommersiella anläggningar för OFS hållbara drivmedel</t>
  </si>
  <si>
    <t>Organofuel Sweden AB</t>
  </si>
  <si>
    <t>P2022-00603</t>
  </si>
  <si>
    <t>Paulownia - En ny möjlighet till energi och klimatomställningen i Sverige</t>
  </si>
  <si>
    <t>Klimatskoga i Sverige AB</t>
  </si>
  <si>
    <t>P2022-00604</t>
  </si>
  <si>
    <t>Innovationskluster för biokol och bioenergi från pyrolys</t>
  </si>
  <si>
    <t>NORDVÄSTRA SKÅNES RENHÅLLNINGS AKTIEBOLAG (NSR)</t>
  </si>
  <si>
    <t>P2022-01185</t>
  </si>
  <si>
    <t>Innovationskluster för hållbara, biogena energigaser - BioGenGas</t>
  </si>
  <si>
    <t>Energigas Sverige Service AB</t>
  </si>
  <si>
    <t>P2022-01186</t>
  </si>
  <si>
    <t>Gröna Kolatomer</t>
  </si>
  <si>
    <t>P2022-01189</t>
  </si>
  <si>
    <t>Biogas och biogödselproduktion i Mellanbygden i Västerbotten</t>
  </si>
  <si>
    <t>Econ AB</t>
  </si>
  <si>
    <t>P2022-01341</t>
  </si>
  <si>
    <t>Biogasbaserad reservkraftstjänst</t>
  </si>
  <si>
    <t>Småländska Bränslen AB</t>
  </si>
  <si>
    <t>P2022-01342</t>
  </si>
  <si>
    <t>Biobaserat grafen för energilagring - demoanläggning</t>
  </si>
  <si>
    <t>Bright Day Graphene AB</t>
  </si>
  <si>
    <t>P2022-01347</t>
  </si>
  <si>
    <t>Total Project 
Budget (TL)</t>
  </si>
  <si>
    <t>Public funding (TL)</t>
  </si>
  <si>
    <t>Public funding (EUR)</t>
  </si>
  <si>
    <t>Funding schemes</t>
  </si>
  <si>
    <t>1TL</t>
  </si>
  <si>
    <t>EUR</t>
  </si>
  <si>
    <t>Integrated Biorefinery Concept for Bioeconomy Driven Development (INDEPENDENT)</t>
  </si>
  <si>
    <t>Ministry of Science, Industry and Technology &amp; Directorate General for EU and Foreign Affairs Department of EU Financial Programmes</t>
  </si>
  <si>
    <t>Bogazici University</t>
  </si>
  <si>
    <t>4,912,459 €</t>
  </si>
  <si>
    <t>Public (N15%) -public (EU 85%) funding;                                       National funding-EU funding;                                       Competitive funding</t>
  </si>
  <si>
    <t xml:space="preserve">Increasing the product selectivity in Fischer Tropsh Synthesis: A hydrodynamics and reaction study </t>
  </si>
  <si>
    <t>PVC1, PV3</t>
  </si>
  <si>
    <t>The Scientific and Technological Research Council</t>
  </si>
  <si>
    <t>Bursa Technical University</t>
  </si>
  <si>
    <t>Public funding                                                     National funding;                                 Competitve funding</t>
  </si>
  <si>
    <t>Olive mill wastewater: From a pollutant to green fuels, agricultural water source and bio-fertilizer (WASTE2FUEL)</t>
  </si>
  <si>
    <t>ERANETMED (EU) and TÜBİTAK</t>
  </si>
  <si>
    <t>Ege University</t>
  </si>
  <si>
    <t>Public funding;                                                      Transnational funding (ERANETMED);                                 Competitve funding</t>
  </si>
  <si>
    <t>Soğutma Kolonlu Çift Beslemeli Plazma Konik Reaktörlü Organik Çöp Gazlaştırma Sisteminin Deneysel Performansının Araştırılması</t>
  </si>
  <si>
    <t>Recep Tayyip Erdogan University</t>
  </si>
  <si>
    <t>Public funding;                                                      National funding;                                 Competitve funding</t>
  </si>
  <si>
    <t>QTL mapping and line breeding for high sugar content, plant stalk juice and plant height characters related to bioenergy in sweet sorghum</t>
  </si>
  <si>
    <t>PVC4, PVC5, EVC3</t>
  </si>
  <si>
    <t>Akdeniz University</t>
  </si>
  <si>
    <t>TRL 5-6</t>
  </si>
  <si>
    <t>Changes in microbial community and biogas production due to ozone pre-treatment in one- and two-stage anaerobic digestors</t>
  </si>
  <si>
    <t>Middle East Technical University</t>
  </si>
  <si>
    <t>TRL 3-4</t>
  </si>
  <si>
    <t>Fotoelektrokimyasal-Fotokatalitik Hidrojen Üretim Reaksiyonları (PEPCHER) ile Saf Hidrojen Üretimi</t>
  </si>
  <si>
    <t>Marmara University</t>
  </si>
  <si>
    <t>TRL2-4</t>
  </si>
  <si>
    <t>Public  funding;                                                      National funding;                                 Competitve funding</t>
  </si>
  <si>
    <t>Development of Perovskite Oxides for Two-Step Thermochemical Water Splitting</t>
  </si>
  <si>
    <t>Mugla Sitki Kocaman University</t>
  </si>
  <si>
    <t>TRL 1-2</t>
  </si>
  <si>
    <t>Development of Perovskite-Oxide based Composites for Hydrogen Production</t>
  </si>
  <si>
    <t>Synthesis of Atomically Designed Nanorod Structures in Different Compositions and Their Energy Applications</t>
  </si>
  <si>
    <t>Karamanoglu Mehmet Bey University</t>
  </si>
  <si>
    <t>Anaerobik Çürütme Ve Mikrobiyal Elektroliz Hücresi Entegre Sistemi Ile Yenilenebilir Biyokütleden Yüksek Verimle Biyogaz Eldesi</t>
  </si>
  <si>
    <t>Ecosafefarming - Eko-Güvenli Tarım Için Temiz Su Ve Hidrojenin Verimli Birlikte Üretimi Için Yeni Bir Fotokatalitik Sistemin Geliştirilmesi Ve Test Edilmesi</t>
  </si>
  <si>
    <t>Istanbul University</t>
  </si>
  <si>
    <t>Public funding                                                      Transnational funding (ERANET);                                 Competitve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</si>
</sst>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_ ;[Red]\-#,##0\ "/>
    <numFmt numFmtId="165" formatCode="_-&quot;€&quot;\ * #,##0.00_-;\-&quot;€&quot;\ * #,##0.00_-;_-&quot;€&quot;\ * &quot;-&quot;??_-;_-@_-"/>
    <numFmt numFmtId="167" formatCode="_-* #,##0_-;\-* #,##0_-;_-* &quot;-&quot;??_-;_-@_-"/>
    <numFmt numFmtId="168" formatCode="_-* #,##0\ _€_-;\-* #,##0\ _€_-;_-* &quot;-&quot;?\ _€_-;_-@_-"/>
    <numFmt numFmtId="171" formatCode="#,##0.0\ [$€-1]"/>
    <numFmt numFmtId="172" formatCode="yyyy\-mm\-dd"/>
    <numFmt numFmtId="173" formatCode="_-* #,##0.00\ [$€-1]_-;\-* #,##0.00\ [$€-1]_-;_-* &quot;-&quot;??\ [$€-1]_-;_-@_-"/>
    <numFmt numFmtId="174" formatCode="_-* #,##0\ [$€-1]_-;\-* #,##0\ [$€-1]_-;_-* &quot;-&quot;\ [$€-1]_-;_-@_-"/>
  </numFmts>
  <fonts count="41" x14ac:knownFonts="1">
    <font>
      <sz val="11"/>
      <color theme="1"/>
      <name val="Calibri"/>
      <family val="2"/>
      <scheme val="minor"/>
    </font>
    <font>
      <sz val="11"/>
      <color rgb="FF006100"/>
      <name val="Calibri"/>
      <family val="2"/>
      <scheme val="minor"/>
    </font>
    <font>
      <sz val="11"/>
      <color rgb="FF3F3F76"/>
      <name val="Calibri"/>
      <family val="2"/>
      <scheme val="minor"/>
    </font>
    <font>
      <sz val="12"/>
      <color theme="1"/>
      <name val="Calibri"/>
      <family val="2"/>
      <scheme val="minor"/>
    </font>
    <font>
      <u/>
      <sz val="11"/>
      <color theme="10"/>
      <name val="Calibri"/>
      <family val="2"/>
      <scheme val="minor"/>
    </font>
    <font>
      <sz val="8"/>
      <name val="Calibri"/>
      <family val="2"/>
      <scheme val="minor"/>
    </font>
    <font>
      <sz val="11"/>
      <color theme="1"/>
      <name val="Calibri"/>
      <family val="2"/>
      <scheme val="minor"/>
    </font>
    <font>
      <sz val="11"/>
      <name val="Calibri"/>
      <family val="2"/>
      <scheme val="minor"/>
    </font>
    <font>
      <sz val="12"/>
      <name val="Calibri"/>
      <family val="2"/>
      <scheme val="minor"/>
    </font>
    <font>
      <b/>
      <sz val="12"/>
      <color theme="0"/>
      <name val="Calibri"/>
      <family val="2"/>
      <scheme val="minor"/>
    </font>
    <font>
      <sz val="11"/>
      <color theme="1"/>
      <name val="Calibri Light"/>
      <family val="2"/>
      <scheme val="major"/>
    </font>
    <font>
      <b/>
      <sz val="24"/>
      <color theme="1"/>
      <name val="Calibri"/>
      <family val="2"/>
      <scheme val="minor"/>
    </font>
    <font>
      <sz val="11"/>
      <color rgb="FF333333"/>
      <name val="Calibri"/>
      <family val="2"/>
      <scheme val="minor"/>
    </font>
    <font>
      <sz val="11"/>
      <color rgb="FF000000"/>
      <name val="Calibri"/>
      <family val="2"/>
    </font>
    <font>
      <b/>
      <sz val="12"/>
      <color rgb="FFFFFFFF"/>
      <name val="Calibri"/>
      <family val="2"/>
    </font>
    <font>
      <sz val="9"/>
      <color theme="1"/>
      <name val="Verdana"/>
      <family val="2"/>
    </font>
    <font>
      <b/>
      <sz val="18"/>
      <color theme="1"/>
      <name val="Calibri"/>
      <family val="2"/>
      <scheme val="minor"/>
    </font>
    <font>
      <sz val="11"/>
      <color rgb="FF000000"/>
      <name val="Calibri"/>
      <family val="2"/>
      <scheme val="minor"/>
    </font>
    <font>
      <u/>
      <sz val="11"/>
      <name val="Calibri"/>
      <family val="2"/>
      <scheme val="minor"/>
    </font>
    <font>
      <sz val="11"/>
      <color rgb="FF333333"/>
      <name val="Verdana"/>
      <family val="2"/>
    </font>
    <font>
      <sz val="11"/>
      <color rgb="FFFFFFFF"/>
      <name val="Arial"/>
      <family val="2"/>
    </font>
    <font>
      <sz val="11"/>
      <name val="Arial"/>
      <family val="2"/>
    </font>
    <font>
      <sz val="11"/>
      <color rgb="FF1D1D1D"/>
      <name val="Open Sans"/>
      <family val="2"/>
    </font>
    <font>
      <sz val="11"/>
      <color indexed="8"/>
      <name val="Calibri"/>
      <family val="2"/>
    </font>
    <font>
      <sz val="11"/>
      <color theme="1"/>
      <name val="Calibri"/>
      <family val="2"/>
    </font>
    <font>
      <sz val="10"/>
      <color theme="1"/>
      <name val="Verdana"/>
      <family val="2"/>
    </font>
    <font>
      <u/>
      <sz val="11"/>
      <color theme="10"/>
      <name val="Calibri"/>
      <family val="2"/>
    </font>
    <font>
      <sz val="10"/>
      <color rgb="FF444444"/>
      <name val="Verdana"/>
      <family val="2"/>
    </font>
    <font>
      <u/>
      <sz val="11"/>
      <color rgb="FF0563C1"/>
      <name val="Calibri"/>
      <family val="2"/>
    </font>
    <font>
      <u/>
      <sz val="11"/>
      <color rgb="FF0000FF"/>
      <name val="Arial"/>
      <family val="2"/>
    </font>
    <font>
      <u/>
      <sz val="11"/>
      <color rgb="FF1155CC"/>
      <name val="Arial"/>
      <family val="2"/>
    </font>
    <font>
      <sz val="11"/>
      <color rgb="FF424343"/>
      <name val="Calibri"/>
      <family val="2"/>
    </font>
    <font>
      <u/>
      <sz val="11"/>
      <color rgb="FF0563C1"/>
      <name val="Arial"/>
      <family val="2"/>
    </font>
    <font>
      <sz val="11"/>
      <name val="Calibri"/>
      <family val="2"/>
    </font>
    <font>
      <b/>
      <sz val="12"/>
      <color theme="0"/>
      <name val="Calibri"/>
      <family val="2"/>
    </font>
    <font>
      <sz val="11"/>
      <color rgb="FFFF0000"/>
      <name val="Calibri"/>
      <family val="2"/>
      <scheme val="minor"/>
    </font>
    <font>
      <b/>
      <sz val="11"/>
      <color theme="0"/>
      <name val="Calibri"/>
      <family val="2"/>
      <scheme val="minor"/>
    </font>
    <font>
      <sz val="11"/>
      <color rgb="FF1D1D1D"/>
      <name val="Calibri"/>
      <family val="2"/>
      <scheme val="minor"/>
    </font>
    <font>
      <sz val="9"/>
      <name val="Calibri"/>
      <family val="2"/>
      <scheme val="minor"/>
    </font>
    <font>
      <sz val="10"/>
      <name val="Calibri"/>
      <family val="2"/>
      <scheme val="minor"/>
    </font>
    <font>
      <b/>
      <sz val="11"/>
      <color rgb="FFFF0000"/>
      <name val="Calibri"/>
      <family val="2"/>
      <scheme val="minor"/>
    </font>
  </fonts>
  <fills count="14">
    <fill>
      <patternFill patternType="none"/>
    </fill>
    <fill>
      <patternFill patternType="gray125"/>
    </fill>
    <fill>
      <patternFill patternType="solid">
        <fgColor rgb="FFC6EFCE"/>
      </patternFill>
    </fill>
    <fill>
      <patternFill patternType="solid">
        <fgColor rgb="FFFFCC99"/>
      </patternFill>
    </fill>
    <fill>
      <patternFill patternType="solid">
        <fgColor theme="9" tint="-0.249977111117893"/>
        <bgColor indexed="64"/>
      </patternFill>
    </fill>
    <fill>
      <patternFill patternType="solid">
        <fgColor rgb="FFFFFF00"/>
        <bgColor indexed="64"/>
      </patternFill>
    </fill>
    <fill>
      <patternFill patternType="solid">
        <fgColor rgb="FF548235"/>
        <bgColor rgb="FF000000"/>
      </patternFill>
    </fill>
    <fill>
      <patternFill patternType="solid">
        <fgColor theme="0"/>
        <bgColor indexed="64"/>
      </patternFill>
    </fill>
    <fill>
      <patternFill patternType="solid">
        <fgColor rgb="FFF9F9F9"/>
        <bgColor rgb="FFF9F9F9"/>
      </patternFill>
    </fill>
    <fill>
      <patternFill patternType="solid">
        <fgColor rgb="FFFFFFFF"/>
        <bgColor rgb="FFFFFFFF"/>
      </patternFill>
    </fill>
    <fill>
      <patternFill patternType="solid">
        <fgColor rgb="FF548135"/>
        <bgColor rgb="FF548135"/>
      </patternFill>
    </fill>
    <fill>
      <patternFill patternType="solid">
        <fgColor theme="9"/>
        <bgColor indexed="64"/>
      </patternFill>
    </fill>
    <fill>
      <patternFill patternType="solid">
        <fgColor rgb="FFF8F8F8"/>
        <bgColor indexed="64"/>
      </patternFill>
    </fill>
    <fill>
      <patternFill patternType="solid">
        <fgColor rgb="FFFFFFFF"/>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
      <left style="thin">
        <color theme="0" tint="-0.14999847407452621"/>
      </left>
      <right/>
      <top/>
      <bottom/>
      <diagonal/>
    </border>
    <border>
      <left style="thin">
        <color theme="1"/>
      </left>
      <right style="thin">
        <color theme="1"/>
      </right>
      <top style="thin">
        <color theme="1"/>
      </top>
      <bottom style="thin">
        <color indexed="64"/>
      </bottom>
      <diagonal/>
    </border>
    <border>
      <left style="thin">
        <color theme="1"/>
      </left>
      <right/>
      <top style="thin">
        <color rgb="FF000000"/>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0" tint="-0.14999847407452621"/>
      </left>
      <right style="thin">
        <color theme="0" tint="-0.14999847407452621"/>
      </right>
      <top style="thin">
        <color theme="0" tint="-0.249977111117893"/>
      </top>
      <bottom style="thin">
        <color theme="0" tint="-0.249977111117893"/>
      </bottom>
      <diagonal/>
    </border>
    <border>
      <left style="medium">
        <color rgb="FFDDDDDD"/>
      </left>
      <right style="medium">
        <color rgb="FFDDDDDD"/>
      </right>
      <top style="medium">
        <color rgb="FFDDDDDD"/>
      </top>
      <bottom/>
      <diagonal/>
    </border>
    <border>
      <left style="thin">
        <color theme="1"/>
      </left>
      <right style="thin">
        <color theme="1"/>
      </right>
      <top/>
      <bottom/>
      <diagonal/>
    </border>
    <border>
      <left/>
      <right/>
      <top/>
      <bottom style="medium">
        <color rgb="FFC9C9C9"/>
      </bottom>
      <diagonal/>
    </border>
  </borders>
  <cellStyleXfs count="8">
    <xf numFmtId="0" fontId="0" fillId="0" borderId="0"/>
    <xf numFmtId="0" fontId="1" fillId="2" borderId="0" applyNumberFormat="0" applyBorder="0" applyAlignment="0" applyProtection="0"/>
    <xf numFmtId="0" fontId="2" fillId="3" borderId="1" applyNumberFormat="0" applyAlignment="0" applyProtection="0"/>
    <xf numFmtId="0" fontId="4" fillId="0" borderId="0" applyNumberFormat="0" applyFill="0" applyBorder="0" applyAlignment="0" applyProtection="0"/>
    <xf numFmtId="0" fontId="10" fillId="0" borderId="0"/>
    <xf numFmtId="0" fontId="23" fillId="0" borderId="0" applyFill="0" applyProtection="0"/>
    <xf numFmtId="165" fontId="6" fillId="0" borderId="0" applyFont="0" applyFill="0" applyBorder="0" applyAlignment="0" applyProtection="0"/>
    <xf numFmtId="43" fontId="6" fillId="0" borderId="0" applyFont="0" applyFill="0" applyBorder="0" applyAlignment="0" applyProtection="0"/>
  </cellStyleXfs>
  <cellXfs count="255">
    <xf numFmtId="0" fontId="0" fillId="0" borderId="0" xfId="0"/>
    <xf numFmtId="0" fontId="3" fillId="0" borderId="0" xfId="0" applyFont="1" applyAlignment="1">
      <alignment wrapText="1"/>
    </xf>
    <xf numFmtId="0" fontId="0" fillId="0" borderId="0" xfId="0" applyAlignment="1">
      <alignment vertical="center"/>
    </xf>
    <xf numFmtId="0" fontId="0" fillId="0" borderId="0" xfId="0" applyAlignment="1">
      <alignment wrapText="1"/>
    </xf>
    <xf numFmtId="1" fontId="0" fillId="0" borderId="0" xfId="0" applyNumberFormat="1"/>
    <xf numFmtId="0" fontId="6" fillId="0" borderId="0" xfId="0" applyFont="1" applyAlignment="1">
      <alignment horizontal="left" vertical="center" wrapText="1"/>
    </xf>
    <xf numFmtId="0" fontId="8" fillId="0" borderId="0" xfId="0" applyFont="1" applyAlignment="1">
      <alignment wrapText="1"/>
    </xf>
    <xf numFmtId="0" fontId="6" fillId="0" borderId="0" xfId="0" applyFont="1" applyAlignment="1">
      <alignment wrapText="1"/>
    </xf>
    <xf numFmtId="0" fontId="9" fillId="4" borderId="2" xfId="1" applyFont="1" applyFill="1" applyBorder="1" applyAlignment="1">
      <alignment horizontal="center" vertical="center" wrapText="1"/>
    </xf>
    <xf numFmtId="0" fontId="9" fillId="4" borderId="2" xfId="2" applyFont="1" applyFill="1" applyBorder="1" applyAlignment="1">
      <alignment horizontal="center" vertical="center" wrapText="1"/>
    </xf>
    <xf numFmtId="49" fontId="0" fillId="0" borderId="0" xfId="0" applyNumberFormat="1"/>
    <xf numFmtId="0" fontId="0" fillId="0" borderId="0" xfId="0" applyAlignment="1">
      <alignment horizontal="left"/>
    </xf>
    <xf numFmtId="0" fontId="11" fillId="0" borderId="0" xfId="0" applyFont="1"/>
    <xf numFmtId="49" fontId="0" fillId="0" borderId="0" xfId="0" applyNumberFormat="1" applyAlignment="1">
      <alignment wrapText="1"/>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left" vertical="top"/>
    </xf>
    <xf numFmtId="0" fontId="6" fillId="0" borderId="0" xfId="0" applyFont="1" applyAlignment="1">
      <alignment horizontal="left" vertical="top"/>
    </xf>
    <xf numFmtId="0" fontId="0" fillId="0" borderId="0" xfId="0" applyAlignment="1">
      <alignment horizontal="center" vertical="center"/>
    </xf>
    <xf numFmtId="0" fontId="0" fillId="0" borderId="0" xfId="0" applyAlignment="1">
      <alignment horizontal="left" vertical="center" wrapText="1"/>
    </xf>
    <xf numFmtId="3" fontId="0" fillId="0" borderId="0" xfId="0" applyNumberForma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3" fontId="0" fillId="0" borderId="0" xfId="0" applyNumberFormat="1" applyAlignment="1">
      <alignment horizontal="left" vertical="center"/>
    </xf>
    <xf numFmtId="0" fontId="14" fillId="6" borderId="3" xfId="0" applyFont="1" applyFill="1" applyBorder="1" applyAlignment="1">
      <alignment vertical="center" wrapText="1"/>
    </xf>
    <xf numFmtId="49" fontId="0" fillId="0" borderId="0" xfId="0" applyNumberFormat="1" applyAlignment="1">
      <alignment horizontal="center" vertical="center"/>
    </xf>
    <xf numFmtId="0" fontId="14" fillId="6" borderId="3" xfId="0" applyFont="1" applyFill="1" applyBorder="1" applyAlignment="1">
      <alignment horizontal="center" vertical="center" wrapText="1"/>
    </xf>
    <xf numFmtId="3" fontId="0" fillId="0" borderId="0" xfId="0" applyNumberFormat="1"/>
    <xf numFmtId="0" fontId="7" fillId="0" borderId="0" xfId="0" applyFont="1" applyAlignment="1">
      <alignment horizontal="center" vertical="center"/>
    </xf>
    <xf numFmtId="3" fontId="0" fillId="0" borderId="0" xfId="0" applyNumberFormat="1" applyAlignment="1">
      <alignment horizontal="center" vertical="center"/>
    </xf>
    <xf numFmtId="0" fontId="7" fillId="0" borderId="0" xfId="0" applyFont="1" applyAlignment="1">
      <alignment horizontal="center" vertical="center" wrapText="1"/>
    </xf>
    <xf numFmtId="3" fontId="7" fillId="0" borderId="0" xfId="0" applyNumberFormat="1" applyFont="1" applyAlignment="1">
      <alignment horizontal="center" vertical="center"/>
    </xf>
    <xf numFmtId="0" fontId="0" fillId="0" borderId="0" xfId="0" applyAlignment="1">
      <alignment horizontal="left" wrapText="1"/>
    </xf>
    <xf numFmtId="0" fontId="16" fillId="0" borderId="0" xfId="0" applyFont="1"/>
    <xf numFmtId="0" fontId="9" fillId="4" borderId="4"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14" fillId="6" borderId="17" xfId="0" applyFont="1" applyFill="1" applyBorder="1" applyAlignment="1">
      <alignment horizontal="center" vertical="center" wrapText="1"/>
    </xf>
    <xf numFmtId="0" fontId="9" fillId="4" borderId="18" xfId="1" applyFont="1" applyFill="1" applyBorder="1" applyAlignment="1">
      <alignment horizontal="center" vertical="center" wrapText="1"/>
    </xf>
    <xf numFmtId="0" fontId="9" fillId="4" borderId="19" xfId="2" applyFont="1" applyFill="1" applyBorder="1" applyAlignment="1">
      <alignment horizontal="center" vertical="center" wrapText="1"/>
    </xf>
    <xf numFmtId="0" fontId="9" fillId="4" borderId="19" xfId="1"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xf>
    <xf numFmtId="0" fontId="6" fillId="5" borderId="0" xfId="0" applyFont="1" applyFill="1" applyAlignment="1" applyProtection="1">
      <alignment horizontal="left" vertical="top"/>
      <protection locked="0"/>
    </xf>
    <xf numFmtId="3" fontId="0" fillId="0" borderId="0" xfId="0" applyNumberFormat="1" applyAlignment="1">
      <alignment horizontal="center" vertical="center" wrapText="1"/>
    </xf>
    <xf numFmtId="0" fontId="0" fillId="7" borderId="0" xfId="0" applyFill="1" applyAlignment="1">
      <alignment horizontal="center" vertical="center"/>
    </xf>
    <xf numFmtId="0" fontId="0" fillId="0" borderId="0" xfId="0" applyAlignment="1">
      <alignment horizontal="center"/>
    </xf>
    <xf numFmtId="1" fontId="0" fillId="0" borderId="0" xfId="0" applyNumberFormat="1" applyAlignment="1">
      <alignment horizontal="center"/>
    </xf>
    <xf numFmtId="0" fontId="7" fillId="0" borderId="0" xfId="0" applyFont="1" applyAlignment="1">
      <alignment wrapText="1"/>
    </xf>
    <xf numFmtId="0" fontId="18" fillId="0" borderId="0" xfId="3" applyFont="1" applyFill="1" applyAlignment="1">
      <alignment wrapText="1"/>
    </xf>
    <xf numFmtId="0" fontId="7" fillId="0" borderId="0" xfId="0" applyFont="1" applyAlignment="1">
      <alignment horizontal="left" wrapText="1"/>
    </xf>
    <xf numFmtId="4" fontId="7" fillId="0" borderId="0" xfId="0" applyNumberFormat="1" applyFont="1" applyAlignment="1">
      <alignment horizontal="center" vertical="center"/>
    </xf>
    <xf numFmtId="0" fontId="17" fillId="0" borderId="0" xfId="0" applyFont="1" applyAlignment="1">
      <alignment vertical="center" wrapText="1"/>
    </xf>
    <xf numFmtId="0" fontId="17" fillId="0" borderId="0" xfId="0" applyFont="1" applyAlignment="1">
      <alignment horizontal="center" vertical="center" wrapText="1"/>
    </xf>
    <xf numFmtId="0" fontId="15" fillId="0" borderId="0" xfId="0" applyFont="1" applyAlignment="1">
      <alignment vertical="center"/>
    </xf>
    <xf numFmtId="0" fontId="6" fillId="0" borderId="0" xfId="0" applyFont="1" applyAlignment="1">
      <alignment horizontal="center" vertical="center"/>
    </xf>
    <xf numFmtId="1" fontId="6" fillId="0" borderId="0" xfId="0" applyNumberFormat="1" applyFont="1" applyAlignment="1">
      <alignment horizontal="center" vertical="center"/>
    </xf>
    <xf numFmtId="3" fontId="6" fillId="0" borderId="0" xfId="0" applyNumberFormat="1" applyFont="1" applyAlignment="1">
      <alignment horizontal="center" vertical="center"/>
    </xf>
    <xf numFmtId="3" fontId="0" fillId="0" borderId="0" xfId="0" applyNumberFormat="1" applyAlignment="1">
      <alignment horizontal="center"/>
    </xf>
    <xf numFmtId="0" fontId="19" fillId="0" borderId="0" xfId="0" applyFont="1"/>
    <xf numFmtId="3" fontId="20" fillId="0" borderId="0" xfId="0" applyNumberFormat="1" applyFont="1"/>
    <xf numFmtId="4" fontId="21" fillId="0" borderId="0" xfId="0" applyNumberFormat="1" applyFont="1"/>
    <xf numFmtId="3" fontId="21" fillId="0" borderId="0" xfId="0" applyNumberFormat="1" applyFont="1"/>
    <xf numFmtId="0" fontId="22" fillId="0" borderId="0" xfId="0" applyFont="1"/>
    <xf numFmtId="16" fontId="0" fillId="0" borderId="0" xfId="0" applyNumberFormat="1" applyAlignment="1">
      <alignment horizontal="center" vertical="center"/>
    </xf>
    <xf numFmtId="1" fontId="0" fillId="0" borderId="0" xfId="0" applyNumberFormat="1" applyAlignment="1">
      <alignment horizontal="center" vertical="center"/>
    </xf>
    <xf numFmtId="0" fontId="7" fillId="0" borderId="20" xfId="0" applyFont="1" applyBorder="1" applyAlignment="1">
      <alignment horizontal="left" vertical="center" wrapText="1"/>
    </xf>
    <xf numFmtId="0" fontId="24" fillId="0" borderId="0" xfId="0" applyFont="1" applyAlignment="1">
      <alignment horizontal="left" vertical="top"/>
    </xf>
    <xf numFmtId="0" fontId="24" fillId="0" borderId="0" xfId="0" applyFont="1" applyAlignment="1">
      <alignment horizontal="left" vertical="top" wrapText="1"/>
    </xf>
    <xf numFmtId="0" fontId="24" fillId="0" borderId="0" xfId="0" applyFont="1"/>
    <xf numFmtId="1" fontId="24" fillId="0" borderId="0" xfId="0" applyNumberFormat="1" applyFont="1" applyAlignment="1">
      <alignment horizontal="left" vertical="top"/>
    </xf>
    <xf numFmtId="4" fontId="25" fillId="0" borderId="0" xfId="0" applyNumberFormat="1" applyFont="1" applyAlignment="1">
      <alignment horizontal="right"/>
    </xf>
    <xf numFmtId="4" fontId="25" fillId="0" borderId="0" xfId="0" applyNumberFormat="1" applyFont="1" applyAlignment="1">
      <alignment horizontal="right" vertical="top"/>
    </xf>
    <xf numFmtId="0" fontId="26" fillId="0" borderId="0" xfId="0" applyFont="1" applyAlignment="1">
      <alignment vertical="top"/>
    </xf>
    <xf numFmtId="4" fontId="24" fillId="0" borderId="0" xfId="0" applyNumberFormat="1" applyFont="1" applyAlignment="1">
      <alignment horizontal="right"/>
    </xf>
    <xf numFmtId="4" fontId="27" fillId="0" borderId="0" xfId="0" applyNumberFormat="1" applyFont="1" applyAlignment="1">
      <alignment horizontal="right"/>
    </xf>
    <xf numFmtId="0" fontId="26" fillId="0" borderId="0" xfId="0" applyFont="1"/>
    <xf numFmtId="3" fontId="26" fillId="0" borderId="0" xfId="0" applyNumberFormat="1" applyFont="1"/>
    <xf numFmtId="0" fontId="24" fillId="0" borderId="0" xfId="0" applyFont="1" applyAlignment="1">
      <alignment horizontal="left"/>
    </xf>
    <xf numFmtId="0" fontId="28" fillId="8" borderId="22" xfId="0" applyFont="1" applyFill="1" applyBorder="1" applyAlignment="1">
      <alignment vertical="top"/>
    </xf>
    <xf numFmtId="0" fontId="24" fillId="9" borderId="0" xfId="0" applyFont="1" applyFill="1" applyAlignment="1">
      <alignment horizontal="left" vertical="top" wrapText="1"/>
    </xf>
    <xf numFmtId="0" fontId="29" fillId="0" borderId="0" xfId="0" applyFont="1"/>
    <xf numFmtId="4" fontId="31" fillId="9" borderId="0" xfId="0" applyNumberFormat="1" applyFont="1" applyFill="1" applyAlignment="1">
      <alignment horizontal="right"/>
    </xf>
    <xf numFmtId="0" fontId="32" fillId="0" borderId="0" xfId="0" applyFont="1"/>
    <xf numFmtId="0" fontId="33" fillId="9" borderId="0" xfId="0" applyFont="1" applyFill="1" applyAlignment="1">
      <alignment horizontal="left" vertical="top"/>
    </xf>
    <xf numFmtId="0" fontId="24" fillId="0" borderId="0" xfId="0" applyFont="1" applyAlignment="1">
      <alignment horizontal="right"/>
    </xf>
    <xf numFmtId="0" fontId="34" fillId="10" borderId="23" xfId="0" applyFont="1" applyFill="1" applyBorder="1" applyAlignment="1">
      <alignment horizontal="center" vertical="center" wrapText="1"/>
    </xf>
    <xf numFmtId="0" fontId="24" fillId="0" borderId="0" xfId="0" applyFont="1" applyAlignment="1">
      <alignment horizontal="center"/>
    </xf>
    <xf numFmtId="0" fontId="4" fillId="0" borderId="0" xfId="3"/>
    <xf numFmtId="0" fontId="0" fillId="5" borderId="0" xfId="0" applyFill="1"/>
    <xf numFmtId="0" fontId="4" fillId="0" borderId="0" xfId="3" applyFill="1"/>
    <xf numFmtId="0" fontId="0" fillId="11" borderId="0" xfId="0" applyFill="1" applyAlignment="1">
      <alignment horizontal="center"/>
    </xf>
    <xf numFmtId="0" fontId="21" fillId="0" borderId="0" xfId="0" applyFont="1"/>
    <xf numFmtId="4" fontId="21" fillId="0" borderId="0" xfId="0" applyNumberFormat="1" applyFont="1" applyAlignment="1">
      <alignment horizontal="right"/>
    </xf>
    <xf numFmtId="0" fontId="21" fillId="0" borderId="0" xfId="0" applyFont="1" applyAlignment="1">
      <alignment horizontal="left"/>
    </xf>
    <xf numFmtId="0" fontId="13" fillId="9" borderId="0" xfId="0" applyFont="1" applyFill="1"/>
    <xf numFmtId="3" fontId="0" fillId="11" borderId="0" xfId="0" applyNumberFormat="1" applyFill="1" applyAlignment="1">
      <alignment horizontal="center" vertical="center"/>
    </xf>
    <xf numFmtId="3" fontId="0" fillId="11" borderId="0" xfId="0" applyNumberFormat="1" applyFill="1" applyAlignment="1">
      <alignment horizontal="center"/>
    </xf>
    <xf numFmtId="0" fontId="0" fillId="11" borderId="0" xfId="0" applyFill="1" applyAlignment="1">
      <alignment horizontal="center" vertical="center" wrapText="1"/>
    </xf>
    <xf numFmtId="3" fontId="0" fillId="11" borderId="0" xfId="0" applyNumberFormat="1" applyFill="1" applyAlignment="1">
      <alignment horizontal="center" vertical="center" wrapText="1"/>
    </xf>
    <xf numFmtId="0" fontId="0" fillId="11" borderId="0" xfId="0" applyFill="1" applyAlignment="1">
      <alignment horizontal="center" vertical="center"/>
    </xf>
    <xf numFmtId="0" fontId="7" fillId="11" borderId="0" xfId="0" applyFont="1" applyFill="1" applyAlignment="1">
      <alignment horizontal="center" vertical="center" wrapText="1"/>
    </xf>
    <xf numFmtId="4" fontId="24" fillId="11" borderId="0" xfId="0" applyNumberFormat="1" applyFont="1" applyFill="1" applyAlignment="1">
      <alignment horizontal="center"/>
    </xf>
    <xf numFmtId="0" fontId="24" fillId="11" borderId="0" xfId="0" applyFont="1" applyFill="1" applyAlignment="1">
      <alignment horizontal="center"/>
    </xf>
    <xf numFmtId="0" fontId="24" fillId="0" borderId="0" xfId="0" applyFont="1" applyAlignment="1">
      <alignment vertical="top" wrapText="1"/>
    </xf>
    <xf numFmtId="0" fontId="21" fillId="0" borderId="0" xfId="0" applyFont="1" applyAlignment="1">
      <alignment wrapText="1"/>
    </xf>
    <xf numFmtId="0" fontId="24" fillId="0" borderId="0" xfId="0" applyFont="1" applyAlignment="1">
      <alignment wrapText="1"/>
    </xf>
    <xf numFmtId="3" fontId="0" fillId="0" borderId="0" xfId="0" applyNumberFormat="1" applyAlignment="1">
      <alignment horizontal="left"/>
    </xf>
    <xf numFmtId="0" fontId="7" fillId="0" borderId="0" xfId="0" applyFont="1" applyAlignment="1">
      <alignment vertical="center" wrapText="1"/>
    </xf>
    <xf numFmtId="0" fontId="7" fillId="0" borderId="0" xfId="0" applyFont="1" applyAlignment="1">
      <alignment vertical="center"/>
    </xf>
    <xf numFmtId="0" fontId="36"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0" xfId="2" applyFont="1" applyFill="1" applyBorder="1" applyAlignment="1">
      <alignment vertical="center" wrapText="1"/>
    </xf>
    <xf numFmtId="0" fontId="7" fillId="0" borderId="0" xfId="1" applyFont="1" applyFill="1" applyBorder="1" applyAlignment="1">
      <alignment horizontal="center" vertical="center" wrapText="1"/>
    </xf>
    <xf numFmtId="0" fontId="7" fillId="0" borderId="0" xfId="2"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167" fontId="7" fillId="0" borderId="0" xfId="7" applyNumberFormat="1" applyFont="1" applyFill="1" applyBorder="1" applyAlignment="1">
      <alignment vertical="center" wrapText="1"/>
    </xf>
    <xf numFmtId="49" fontId="0" fillId="0" borderId="0" xfId="0" applyNumberFormat="1" applyAlignment="1">
      <alignment horizontal="center" vertical="center" wrapText="1"/>
    </xf>
    <xf numFmtId="167" fontId="0" fillId="0" borderId="0" xfId="0" applyNumberFormat="1" applyAlignment="1">
      <alignment horizontal="center" vertical="center"/>
    </xf>
    <xf numFmtId="49" fontId="11" fillId="0" borderId="0" xfId="0" applyNumberFormat="1" applyFont="1" applyAlignment="1">
      <alignment horizontal="center"/>
    </xf>
    <xf numFmtId="49" fontId="14" fillId="6" borderId="3" xfId="0" applyNumberFormat="1" applyFont="1" applyFill="1" applyBorder="1" applyAlignment="1">
      <alignment horizontal="center" vertical="center" wrapText="1"/>
    </xf>
    <xf numFmtId="0" fontId="9" fillId="4" borderId="2" xfId="2" applyNumberFormat="1" applyFont="1" applyFill="1" applyBorder="1" applyAlignment="1">
      <alignment horizontal="center" vertical="center" wrapText="1"/>
    </xf>
    <xf numFmtId="0" fontId="7" fillId="7" borderId="0" xfId="0" applyFont="1" applyFill="1" applyAlignment="1">
      <alignment horizontal="left" vertical="center" wrapText="1"/>
    </xf>
    <xf numFmtId="49" fontId="7" fillId="0" borderId="0" xfId="0" applyNumberFormat="1" applyFont="1" applyAlignment="1">
      <alignment horizontal="center" vertical="center" wrapText="1"/>
    </xf>
    <xf numFmtId="0" fontId="7" fillId="0" borderId="0" xfId="3" applyFont="1" applyAlignment="1">
      <alignment vertical="center"/>
    </xf>
    <xf numFmtId="16" fontId="7" fillId="0" borderId="0" xfId="0" applyNumberFormat="1" applyFont="1" applyAlignment="1">
      <alignment horizontal="center" vertical="center"/>
    </xf>
    <xf numFmtId="0" fontId="35" fillId="0" borderId="0" xfId="0" applyFont="1"/>
    <xf numFmtId="49" fontId="7" fillId="0" borderId="0" xfId="0" applyNumberFormat="1" applyFont="1" applyAlignment="1">
      <alignment horizontal="center" vertical="center"/>
    </xf>
    <xf numFmtId="0" fontId="38" fillId="0" borderId="0" xfId="0" applyFont="1" applyAlignment="1">
      <alignment vertical="center"/>
    </xf>
    <xf numFmtId="0" fontId="7" fillId="0" borderId="0" xfId="0" applyFont="1"/>
    <xf numFmtId="0" fontId="39" fillId="0" borderId="0" xfId="0" applyFont="1" applyAlignment="1">
      <alignment vertical="center" wrapText="1"/>
    </xf>
    <xf numFmtId="3" fontId="0" fillId="0" borderId="0" xfId="0" applyNumberFormat="1" applyAlignment="1">
      <alignment wrapText="1"/>
    </xf>
    <xf numFmtId="0" fontId="0" fillId="0" borderId="0" xfId="0" applyAlignment="1">
      <alignment horizontal="right" vertical="center" wrapText="1"/>
    </xf>
    <xf numFmtId="171" fontId="0" fillId="0" borderId="0" xfId="0" applyNumberFormat="1"/>
    <xf numFmtId="172" fontId="0" fillId="0" borderId="0" xfId="0" applyNumberFormat="1"/>
    <xf numFmtId="0" fontId="40" fillId="12" borderId="0" xfId="0" applyFont="1" applyFill="1" applyAlignment="1">
      <alignment horizontal="left" vertical="center" wrapText="1" indent="1"/>
    </xf>
    <xf numFmtId="0" fontId="40" fillId="0" borderId="0" xfId="0" applyFont="1"/>
    <xf numFmtId="0" fontId="17" fillId="12" borderId="0" xfId="0" applyFont="1" applyFill="1" applyAlignment="1">
      <alignment horizontal="left" vertical="center" wrapText="1" indent="1"/>
    </xf>
    <xf numFmtId="0" fontId="17" fillId="12" borderId="24" xfId="0" applyFont="1" applyFill="1" applyBorder="1" applyAlignment="1">
      <alignment horizontal="left" vertical="center" wrapText="1" indent="1"/>
    </xf>
    <xf numFmtId="173" fontId="0" fillId="0" borderId="0" xfId="0" applyNumberFormat="1" applyAlignment="1">
      <alignment horizontal="right"/>
    </xf>
    <xf numFmtId="2" fontId="0" fillId="0" borderId="0" xfId="0" applyNumberFormat="1" applyAlignment="1">
      <alignment vertical="center" wrapText="1"/>
    </xf>
    <xf numFmtId="173" fontId="0" fillId="13" borderId="0" xfId="0" applyNumberFormat="1" applyFill="1" applyAlignment="1">
      <alignment horizontal="right"/>
    </xf>
    <xf numFmtId="0" fontId="0" fillId="13" borderId="0" xfId="0" applyFill="1"/>
    <xf numFmtId="0" fontId="4" fillId="13" borderId="0" xfId="3" applyFill="1"/>
    <xf numFmtId="0" fontId="0" fillId="13" borderId="0" xfId="0" applyFill="1" applyAlignment="1">
      <alignment vertical="center" wrapText="1"/>
    </xf>
    <xf numFmtId="0" fontId="0" fillId="13" borderId="0" xfId="0" applyFill="1" applyAlignment="1">
      <alignment horizontal="center" vertical="center"/>
    </xf>
    <xf numFmtId="173" fontId="0" fillId="0" borderId="0" xfId="0" applyNumberFormat="1"/>
    <xf numFmtId="173" fontId="0" fillId="0" borderId="0" xfId="0" applyNumberFormat="1" applyAlignment="1">
      <alignment horizontal="center" vertical="center"/>
    </xf>
    <xf numFmtId="174" fontId="0" fillId="0" borderId="0" xfId="0" applyNumberFormat="1"/>
    <xf numFmtId="2" fontId="0" fillId="0" borderId="0" xfId="0" applyNumberFormat="1" applyAlignment="1">
      <alignment horizontal="center" vertical="center"/>
    </xf>
    <xf numFmtId="2" fontId="0" fillId="0" borderId="0" xfId="0" applyNumberFormat="1" applyAlignment="1">
      <alignment horizontal="right"/>
    </xf>
    <xf numFmtId="2" fontId="0" fillId="13" borderId="0" xfId="0" applyNumberFormat="1" applyFill="1" applyAlignment="1">
      <alignment horizontal="right"/>
    </xf>
    <xf numFmtId="0" fontId="36" fillId="11" borderId="0" xfId="0" applyFont="1" applyFill="1" applyAlignment="1">
      <alignment horizontal="center" vertical="center" wrapText="1"/>
    </xf>
    <xf numFmtId="0" fontId="36" fillId="11"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36" fillId="11" borderId="0" xfId="0" applyFont="1" applyFill="1" applyAlignment="1">
      <alignment horizontal="center"/>
    </xf>
    <xf numFmtId="0" fontId="0" fillId="0" borderId="0" xfId="0" applyAlignment="1">
      <alignment horizontal="center"/>
    </xf>
    <xf numFmtId="0" fontId="0" fillId="11" borderId="0" xfId="0" applyFill="1" applyAlignment="1">
      <alignment horizontal="center"/>
    </xf>
    <xf numFmtId="0" fontId="0" fillId="7" borderId="0" xfId="0" applyFill="1" applyAlignment="1">
      <alignment vertical="top" wrapText="1"/>
    </xf>
    <xf numFmtId="0" fontId="0" fillId="7" borderId="0" xfId="0" applyFill="1" applyAlignment="1">
      <alignment vertical="center"/>
    </xf>
    <xf numFmtId="0" fontId="0" fillId="7" borderId="0" xfId="0" applyFill="1" applyAlignment="1">
      <alignment vertical="center" wrapText="1"/>
    </xf>
    <xf numFmtId="0" fontId="0" fillId="7" borderId="0" xfId="0" applyFill="1" applyAlignment="1">
      <alignment horizontal="left" vertical="center" wrapText="1"/>
    </xf>
    <xf numFmtId="2" fontId="0" fillId="7" borderId="0" xfId="0" applyNumberFormat="1" applyFill="1" applyAlignment="1">
      <alignment horizontal="center" vertical="center"/>
    </xf>
    <xf numFmtId="3" fontId="0" fillId="7" borderId="0" xfId="0" applyNumberFormat="1" applyFill="1" applyAlignment="1">
      <alignment horizontal="center" vertical="center"/>
    </xf>
    <xf numFmtId="3" fontId="0" fillId="7" borderId="0" xfId="0" applyNumberFormat="1" applyFill="1" applyAlignment="1">
      <alignment vertical="center" wrapText="1"/>
    </xf>
    <xf numFmtId="0" fontId="0" fillId="7" borderId="0" xfId="0" applyFill="1"/>
    <xf numFmtId="0" fontId="0" fillId="7" borderId="0" xfId="0" applyFill="1" applyAlignment="1">
      <alignment horizontal="center" vertical="center" wrapText="1"/>
    </xf>
    <xf numFmtId="1" fontId="0" fillId="7" borderId="0" xfId="0" applyNumberFormat="1" applyFill="1" applyAlignment="1">
      <alignment horizontal="center" vertical="center"/>
    </xf>
    <xf numFmtId="0" fontId="17" fillId="7" borderId="0" xfId="0" applyFont="1" applyFill="1" applyAlignment="1">
      <alignment horizontal="left" vertical="center" wrapText="1"/>
    </xf>
    <xf numFmtId="0" fontId="0" fillId="7" borderId="0" xfId="0" applyFill="1" applyAlignment="1">
      <alignment wrapText="1"/>
    </xf>
    <xf numFmtId="0" fontId="0" fillId="4" borderId="0" xfId="0"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0" fillId="0" borderId="0" xfId="0" applyFill="1" applyAlignment="1">
      <alignment horizontal="left" vertical="center" wrapText="1"/>
    </xf>
    <xf numFmtId="0" fontId="7" fillId="0" borderId="0" xfId="0" applyFont="1" applyFill="1" applyAlignment="1">
      <alignment horizontal="center" vertical="center"/>
    </xf>
    <xf numFmtId="3" fontId="0" fillId="0" borderId="0" xfId="0" applyNumberFormat="1" applyFill="1" applyAlignment="1">
      <alignment horizontal="center" vertical="center"/>
    </xf>
    <xf numFmtId="3" fontId="0" fillId="0" borderId="0" xfId="0" applyNumberFormat="1" applyFill="1"/>
    <xf numFmtId="0" fontId="7" fillId="0" borderId="0" xfId="0" applyFont="1" applyFill="1" applyAlignment="1">
      <alignment horizontal="center" vertical="center" wrapText="1"/>
    </xf>
    <xf numFmtId="3" fontId="7" fillId="0" borderId="0" xfId="0" applyNumberFormat="1" applyFont="1" applyFill="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13" fillId="0" borderId="0" xfId="0" applyFont="1" applyFill="1" applyAlignment="1">
      <alignment horizontal="center" vertical="center" wrapText="1"/>
    </xf>
    <xf numFmtId="0" fontId="0" fillId="0" borderId="0" xfId="0" quotePrefix="1" applyFill="1" applyAlignment="1">
      <alignment horizontal="center" vertical="center"/>
    </xf>
    <xf numFmtId="16" fontId="0" fillId="0" borderId="0" xfId="0" quotePrefix="1" applyNumberFormat="1" applyFill="1" applyAlignment="1">
      <alignment horizontal="center"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1" fontId="17" fillId="0" borderId="0" xfId="0" applyNumberFormat="1" applyFont="1" applyFill="1" applyAlignment="1">
      <alignment horizontal="center" vertical="center" wrapText="1"/>
    </xf>
    <xf numFmtId="3" fontId="12" fillId="0" borderId="0" xfId="0" applyNumberFormat="1" applyFont="1" applyFill="1" applyAlignment="1">
      <alignment horizontal="center" vertical="center"/>
    </xf>
    <xf numFmtId="0" fontId="0" fillId="0" borderId="0" xfId="0" applyFill="1"/>
    <xf numFmtId="0" fontId="0" fillId="0" borderId="0" xfId="0"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xf>
    <xf numFmtId="1" fontId="6" fillId="0" borderId="0" xfId="0" applyNumberFormat="1" applyFont="1" applyFill="1" applyAlignment="1">
      <alignment horizontal="center" vertical="center"/>
    </xf>
    <xf numFmtId="3" fontId="6" fillId="0" borderId="0" xfId="0" applyNumberFormat="1" applyFont="1" applyFill="1" applyAlignment="1">
      <alignment horizontal="center" vertical="center"/>
    </xf>
    <xf numFmtId="0" fontId="0" fillId="0" borderId="0" xfId="0" applyFill="1" applyAlignment="1">
      <alignment horizontal="center"/>
    </xf>
    <xf numFmtId="49" fontId="0" fillId="0" borderId="0" xfId="0" applyNumberFormat="1" applyFill="1" applyAlignment="1">
      <alignment horizontal="center" vertical="center"/>
    </xf>
    <xf numFmtId="3" fontId="0" fillId="0" borderId="0" xfId="0" applyNumberFormat="1" applyFill="1" applyAlignment="1">
      <alignment horizontal="center"/>
    </xf>
    <xf numFmtId="2" fontId="0" fillId="0" borderId="0" xfId="0" applyNumberFormat="1" applyFill="1" applyAlignment="1">
      <alignment horizontal="center" vertical="center"/>
    </xf>
    <xf numFmtId="3" fontId="0" fillId="0" borderId="0" xfId="0" applyNumberFormat="1" applyFill="1" applyAlignment="1">
      <alignment horizontal="left" vertical="center"/>
    </xf>
    <xf numFmtId="49" fontId="13" fillId="0" borderId="8" xfId="0" applyNumberFormat="1" applyFont="1" applyFill="1" applyBorder="1" applyAlignment="1">
      <alignment horizontal="left" vertical="center" wrapText="1" shrinkToFit="1"/>
    </xf>
    <xf numFmtId="49" fontId="0" fillId="0" borderId="0" xfId="0" applyNumberFormat="1" applyFill="1" applyAlignment="1">
      <alignment horizontal="left" vertical="center"/>
    </xf>
    <xf numFmtId="49" fontId="0" fillId="0" borderId="15" xfId="0" applyNumberFormat="1" applyFill="1" applyBorder="1" applyAlignment="1">
      <alignment horizontal="center" vertical="center"/>
    </xf>
    <xf numFmtId="0" fontId="0" fillId="0" borderId="5" xfId="0" applyFill="1" applyBorder="1" applyAlignment="1">
      <alignment horizontal="left" vertical="center"/>
    </xf>
    <xf numFmtId="49" fontId="13" fillId="0" borderId="7" xfId="0" applyNumberFormat="1" applyFont="1" applyFill="1" applyBorder="1" applyAlignment="1">
      <alignment horizontal="left" vertical="center" wrapText="1" shrinkToFit="1"/>
    </xf>
    <xf numFmtId="0" fontId="0" fillId="0" borderId="7" xfId="0" applyFill="1" applyBorder="1" applyAlignment="1">
      <alignment horizontal="center" vertical="center"/>
    </xf>
    <xf numFmtId="0" fontId="0" fillId="0" borderId="9" xfId="0" applyFill="1" applyBorder="1" applyAlignment="1">
      <alignment horizontal="center" vertical="center"/>
    </xf>
    <xf numFmtId="164" fontId="0" fillId="0" borderId="9" xfId="0" applyNumberFormat="1" applyFill="1" applyBorder="1" applyAlignment="1">
      <alignment horizontal="center" vertical="center"/>
    </xf>
    <xf numFmtId="164" fontId="0" fillId="0" borderId="0" xfId="0" applyNumberFormat="1" applyFill="1" applyAlignment="1">
      <alignment horizontal="center" vertical="center"/>
    </xf>
    <xf numFmtId="49" fontId="0" fillId="0" borderId="0" xfId="0" applyNumberFormat="1" applyFill="1" applyAlignment="1">
      <alignment horizontal="left" vertical="center" wrapText="1"/>
    </xf>
    <xf numFmtId="164" fontId="0" fillId="0" borderId="0" xfId="0" applyNumberFormat="1" applyFill="1"/>
    <xf numFmtId="0" fontId="0" fillId="0" borderId="5" xfId="0" applyFill="1" applyBorder="1" applyAlignment="1">
      <alignment horizontal="center" vertical="center"/>
    </xf>
    <xf numFmtId="164" fontId="0" fillId="0" borderId="6" xfId="0" applyNumberFormat="1" applyFill="1" applyBorder="1" applyAlignment="1">
      <alignment horizontal="center" vertical="center"/>
    </xf>
    <xf numFmtId="49" fontId="13" fillId="0" borderId="12" xfId="0" applyNumberFormat="1" applyFont="1" applyFill="1" applyBorder="1" applyAlignment="1">
      <alignment horizontal="left" vertical="center" wrapText="1" shrinkToFit="1"/>
    </xf>
    <xf numFmtId="0" fontId="0" fillId="0" borderId="21" xfId="0" applyFill="1" applyBorder="1" applyAlignment="1">
      <alignment horizontal="center" vertical="center"/>
    </xf>
    <xf numFmtId="164" fontId="0" fillId="0" borderId="8" xfId="0" applyNumberFormat="1" applyFill="1" applyBorder="1" applyAlignment="1">
      <alignment horizontal="center" vertical="center"/>
    </xf>
    <xf numFmtId="49" fontId="13" fillId="0" borderId="11" xfId="0" applyNumberFormat="1" applyFont="1" applyFill="1" applyBorder="1" applyAlignment="1">
      <alignment horizontal="left" vertical="center" wrapText="1" shrinkToFit="1"/>
    </xf>
    <xf numFmtId="49" fontId="13" fillId="0" borderId="13" xfId="0" applyNumberFormat="1" applyFont="1" applyFill="1" applyBorder="1" applyAlignment="1">
      <alignment horizontal="left" vertical="center" wrapText="1" shrinkToFit="1"/>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49" fontId="13" fillId="0" borderId="14" xfId="0" applyNumberFormat="1" applyFont="1" applyFill="1" applyBorder="1" applyAlignment="1">
      <alignment horizontal="left" vertical="center" wrapText="1" shrinkToFit="1"/>
    </xf>
    <xf numFmtId="0" fontId="0" fillId="0" borderId="11" xfId="0" applyFill="1" applyBorder="1" applyAlignment="1">
      <alignment horizontal="center" vertical="center"/>
    </xf>
    <xf numFmtId="0" fontId="0" fillId="0" borderId="14" xfId="0" applyFill="1" applyBorder="1" applyAlignment="1">
      <alignment horizontal="center" vertical="center"/>
    </xf>
    <xf numFmtId="49" fontId="13" fillId="0" borderId="0" xfId="0" applyNumberFormat="1" applyFont="1" applyFill="1" applyAlignment="1">
      <alignment horizontal="left" vertical="center" wrapText="1" shrinkToFit="1"/>
    </xf>
    <xf numFmtId="49" fontId="0" fillId="0" borderId="0" xfId="0" applyNumberFormat="1" applyFill="1" applyAlignment="1">
      <alignment wrapText="1"/>
    </xf>
    <xf numFmtId="49" fontId="0" fillId="0" borderId="0" xfId="0" applyNumberFormat="1" applyFill="1"/>
    <xf numFmtId="0" fontId="24" fillId="0" borderId="0" xfId="0" applyFont="1" applyFill="1"/>
    <xf numFmtId="0" fontId="0" fillId="0" borderId="5" xfId="0" applyFill="1" applyBorder="1"/>
    <xf numFmtId="2" fontId="0" fillId="0" borderId="0" xfId="0" applyNumberFormat="1" applyFill="1"/>
    <xf numFmtId="164" fontId="0" fillId="0" borderId="0" xfId="0" applyNumberFormat="1" applyFill="1" applyAlignment="1">
      <alignment horizontal="center"/>
    </xf>
    <xf numFmtId="49" fontId="0" fillId="0" borderId="0" xfId="0" applyNumberFormat="1" applyFill="1" applyAlignment="1">
      <alignment horizontal="center"/>
    </xf>
    <xf numFmtId="0" fontId="15" fillId="0" borderId="0" xfId="0" applyFont="1" applyFill="1" applyAlignment="1">
      <alignment vertical="center"/>
    </xf>
    <xf numFmtId="0" fontId="6" fillId="0" borderId="0" xfId="0" applyFont="1" applyFill="1" applyAlignment="1" applyProtection="1">
      <alignment horizontal="left" vertical="top"/>
      <protection locked="0"/>
    </xf>
    <xf numFmtId="0" fontId="6" fillId="0" borderId="0" xfId="0" applyFont="1" applyFill="1" applyAlignment="1">
      <alignment horizontal="center" vertical="center" wrapText="1"/>
    </xf>
    <xf numFmtId="3" fontId="6" fillId="0" borderId="0" xfId="0" applyNumberFormat="1" applyFont="1" applyFill="1" applyAlignment="1">
      <alignment horizontal="center" vertical="center" wrapText="1"/>
    </xf>
    <xf numFmtId="0" fontId="6" fillId="0" borderId="0" xfId="0" applyFont="1" applyFill="1" applyAlignment="1">
      <alignment horizontal="left" vertical="top"/>
    </xf>
    <xf numFmtId="3" fontId="0" fillId="0" borderId="0" xfId="0" applyNumberFormat="1" applyFill="1" applyAlignment="1">
      <alignment horizontal="left" vertical="center" wrapText="1"/>
    </xf>
    <xf numFmtId="0" fontId="37" fillId="0" borderId="0" xfId="0" applyFont="1" applyFill="1" applyAlignment="1">
      <alignment vertical="center" wrapText="1"/>
    </xf>
    <xf numFmtId="0" fontId="37" fillId="0" borderId="0" xfId="0" applyFont="1" applyFill="1" applyAlignment="1">
      <alignment horizontal="center" vertical="center" wrapText="1"/>
    </xf>
    <xf numFmtId="1" fontId="37" fillId="0" borderId="0" xfId="0" applyNumberFormat="1" applyFont="1" applyFill="1" applyAlignment="1">
      <alignment vertical="center" wrapText="1"/>
    </xf>
    <xf numFmtId="0" fontId="37" fillId="0" borderId="0" xfId="0" applyFont="1" applyFill="1" applyAlignment="1">
      <alignment wrapText="1"/>
    </xf>
    <xf numFmtId="168" fontId="7" fillId="0" borderId="0" xfId="1" applyNumberFormat="1" applyFont="1" applyFill="1" applyBorder="1" applyAlignment="1">
      <alignment vertical="center" wrapText="1"/>
    </xf>
    <xf numFmtId="49" fontId="0" fillId="0" borderId="0" xfId="0" applyNumberFormat="1" applyFill="1" applyAlignment="1">
      <alignment horizontal="center" vertical="center" wrapText="1"/>
    </xf>
    <xf numFmtId="3" fontId="0" fillId="0" borderId="0" xfId="0" applyNumberFormat="1" applyFill="1" applyAlignment="1">
      <alignment horizontal="center" vertical="center" wrapText="1"/>
    </xf>
    <xf numFmtId="0" fontId="11" fillId="0" borderId="0" xfId="0" applyFont="1" applyAlignment="1">
      <alignment horizontal="center" vertical="center"/>
    </xf>
    <xf numFmtId="0" fontId="0" fillId="4" borderId="0" xfId="0" applyFill="1" applyAlignment="1">
      <alignment horizontal="center" vertical="center" wrapText="1"/>
    </xf>
    <xf numFmtId="0" fontId="25" fillId="0" borderId="0" xfId="0" applyFont="1" applyAlignment="1">
      <alignment wrapText="1"/>
    </xf>
    <xf numFmtId="0" fontId="27" fillId="0" borderId="0" xfId="0" applyFont="1" applyAlignment="1">
      <alignment wrapText="1"/>
    </xf>
    <xf numFmtId="0" fontId="24" fillId="0" borderId="0" xfId="0" applyFont="1" applyAlignment="1">
      <alignment horizontal="center" vertical="top" wrapText="1"/>
    </xf>
  </cellXfs>
  <cellStyles count="8">
    <cellStyle name="Comma" xfId="7" builtinId="3"/>
    <cellStyle name="Currency 2" xfId="6" xr:uid="{DC45CB8F-6C2B-4F25-8819-F38A823181A8}"/>
    <cellStyle name="Good" xfId="1" builtinId="26"/>
    <cellStyle name="Hyperlink" xfId="3" builtinId="8"/>
    <cellStyle name="Input" xfId="2" builtinId="20"/>
    <cellStyle name="Normal" xfId="0" builtinId="0"/>
    <cellStyle name="Normal 2" xfId="4" xr:uid="{79265A65-F534-44AC-9650-B8ADCCAD6528}"/>
    <cellStyle name="Standard 2" xfId="5" xr:uid="{F015BACB-4112-4D3C-BACE-ABCC3711E2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79311</xdr:colOff>
      <xdr:row>20</xdr:row>
      <xdr:rowOff>161924</xdr:rowOff>
    </xdr:to>
    <xdr:pic>
      <xdr:nvPicPr>
        <xdr:cNvPr id="6" name="Picture 5" descr="Graphical user interface, text, application, Word&#10;&#10;Description automatically generated">
          <a:extLst>
            <a:ext uri="{FF2B5EF4-FFF2-40B4-BE49-F238E27FC236}">
              <a16:creationId xmlns:a16="http://schemas.microsoft.com/office/drawing/2014/main" id="{8B8DFD81-232C-454B-9AFD-EC2F00DA4655}"/>
            </a:ext>
          </a:extLst>
        </xdr:cNvPr>
        <xdr:cNvPicPr>
          <a:picLocks noChangeAspect="1"/>
        </xdr:cNvPicPr>
      </xdr:nvPicPr>
      <xdr:blipFill rotWithShape="1">
        <a:blip xmlns:r="http://schemas.openxmlformats.org/officeDocument/2006/relationships" r:embed="rId1"/>
        <a:srcRect l="41501" t="27347" r="22040" b="13400"/>
        <a:stretch/>
      </xdr:blipFill>
      <xdr:spPr bwMode="auto">
        <a:xfrm>
          <a:off x="0" y="0"/>
          <a:ext cx="4346511" cy="39719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21</xdr:row>
      <xdr:rowOff>0</xdr:rowOff>
    </xdr:from>
    <xdr:to>
      <xdr:col>7</xdr:col>
      <xdr:colOff>154290</xdr:colOff>
      <xdr:row>27</xdr:row>
      <xdr:rowOff>38100</xdr:rowOff>
    </xdr:to>
    <xdr:pic>
      <xdr:nvPicPr>
        <xdr:cNvPr id="7" name="Picture 6" descr="Graphical user interface, text, application, Word&#10;&#10;Description automatically generated">
          <a:extLst>
            <a:ext uri="{FF2B5EF4-FFF2-40B4-BE49-F238E27FC236}">
              <a16:creationId xmlns:a16="http://schemas.microsoft.com/office/drawing/2014/main" id="{5A91EA63-7061-48BD-AA66-7AEE19758610}"/>
            </a:ext>
          </a:extLst>
        </xdr:cNvPr>
        <xdr:cNvPicPr>
          <a:picLocks noChangeAspect="1"/>
        </xdr:cNvPicPr>
      </xdr:nvPicPr>
      <xdr:blipFill rotWithShape="1">
        <a:blip xmlns:r="http://schemas.openxmlformats.org/officeDocument/2006/relationships" r:embed="rId2"/>
        <a:srcRect l="40519" t="21765" r="19560" b="59273"/>
        <a:stretch/>
      </xdr:blipFill>
      <xdr:spPr bwMode="auto">
        <a:xfrm>
          <a:off x="0" y="4000500"/>
          <a:ext cx="4421490" cy="1181100"/>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äki Elina" id="{D96684FC-C6DD-4A62-9377-10D0ED5E0908}" userId="S::elina.maki@vtt.fi::a97465a7-8e75-4334-a15d-bab4365a3ad5" providerId="AD"/>
  <person displayName="Kanto Tiia" id="{C43E5286-129A-4AE2-BCFC-2A799E839A4C}" userId="S::tiia.kanto@vtt.fi::3c19dc1a-41b5-4f1a-8c13-afaa11df6641" providerId="AD"/>
  <person displayName="Berta Guell Matas" id="{716B56D8-CCBF-439B-861E-9C46E89AEE83}" userId="S::berta.guell@sintef.no::7e993ae1-cc48-4841-a698-4c4c9fb69a8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3-05-08T08:51:06.29" personId="{C43E5286-129A-4AE2-BCFC-2A799E839A4C}" id="{0BF751B0-5189-4EAF-AA9C-56FCED8AFE52}">
    <text>The budgets highlighted with yellow are estimations based on the MEAE's eligibility criteria for large demonstration projects of new energy technologies: up to 40% of the eligible costs.</text>
  </threadedComment>
  <threadedComment ref="J5" dT="2023-05-15T20:25:28.07" personId="{D96684FC-C6DD-4A62-9377-10D0ED5E0908}" id="{E2821EFF-D901-4236-AEA3-561915479AED}" parentId="{0BF751B0-5189-4EAF-AA9C-56FCED8AFE52}">
    <text>The public share can be lower and private investment higher, so this is likely 'conservative' estimate for private share.</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1-04-23T08:51:52.59" personId="{716B56D8-CCBF-439B-861E-9C46E89AEE83}" id="{431C2AB5-5541-4944-98BA-45681094BC58}">
    <text>H2 production from renewables or fossil fuel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energimyndigheten.se/forskning-och-innovation/projektdatabas/sokresultat/?projectid=32427" TargetMode="External"/><Relationship Id="rId13" Type="http://schemas.openxmlformats.org/officeDocument/2006/relationships/hyperlink" Target="https://www.energimyndigheten.se/forskning-och-innovation/projektdatabas/sokresultat/?projectid=31525" TargetMode="External"/><Relationship Id="rId18" Type="http://schemas.openxmlformats.org/officeDocument/2006/relationships/hyperlink" Target="https://www.energimyndigheten.se/forskning-och-innovation/projektdatabas/sokresultat/?projectid=31113" TargetMode="External"/><Relationship Id="rId26" Type="http://schemas.openxmlformats.org/officeDocument/2006/relationships/hyperlink" Target="https://www.energimyndigheten.se/forskning-och-innovation/projektdatabas/sokresultat/?projectid=26748" TargetMode="External"/><Relationship Id="rId39" Type="http://schemas.openxmlformats.org/officeDocument/2006/relationships/hyperlink" Target="https://www.energimyndigheten.se/forskning-och-innovation/projektdatabas/sokresultat/?projectid=34053" TargetMode="External"/><Relationship Id="rId3" Type="http://schemas.openxmlformats.org/officeDocument/2006/relationships/hyperlink" Target="https://www.energimyndigheten.se/forskning-och-innovation/projektdatabas/sokresultat/?projectid=34800" TargetMode="External"/><Relationship Id="rId21" Type="http://schemas.openxmlformats.org/officeDocument/2006/relationships/hyperlink" Target="https://www.energimyndigheten.se/forskning-och-innovation/projektdatabas/sokresultat/?projectid=29178" TargetMode="External"/><Relationship Id="rId34" Type="http://schemas.openxmlformats.org/officeDocument/2006/relationships/hyperlink" Target="https://www.energimyndigheten.se/forskning-och-innovation/projektdatabas/sokresultat/?projectid=34394" TargetMode="External"/><Relationship Id="rId42" Type="http://schemas.openxmlformats.org/officeDocument/2006/relationships/hyperlink" Target="https://www.energimyndigheten.se/forskning-och-innovation/projektdatabas/sokresultat/?projectid=30281" TargetMode="External"/><Relationship Id="rId7" Type="http://schemas.openxmlformats.org/officeDocument/2006/relationships/hyperlink" Target="https://www.energimyndigheten.se/forskning-och-innovation/projektdatabas/sokresultat/?projectid=31653" TargetMode="External"/><Relationship Id="rId12" Type="http://schemas.openxmlformats.org/officeDocument/2006/relationships/hyperlink" Target="https://www.energimyndigheten.se/forskning-och-innovation/projektdatabas/sokresultat/?projectid=31558" TargetMode="External"/><Relationship Id="rId17" Type="http://schemas.openxmlformats.org/officeDocument/2006/relationships/hyperlink" Target="https://www.energimyndigheten.se/forskning-och-innovation/projektdatabas/sokresultat/?projectid=30795" TargetMode="External"/><Relationship Id="rId25" Type="http://schemas.openxmlformats.org/officeDocument/2006/relationships/hyperlink" Target="https://www.energimyndigheten.se/forskning-och-innovation/projektdatabas/sokresultat/?projectid=27664" TargetMode="External"/><Relationship Id="rId33" Type="http://schemas.openxmlformats.org/officeDocument/2006/relationships/hyperlink" Target="https://www.energimyndigheten.se/forskning-och-innovation/projektdatabas/sokresultat/?projectid=24841" TargetMode="External"/><Relationship Id="rId38" Type="http://schemas.openxmlformats.org/officeDocument/2006/relationships/hyperlink" Target="https://www.energimyndigheten.se/forskning-och-innovation/projektdatabas/sokresultat/?projectid=34388" TargetMode="External"/><Relationship Id="rId46" Type="http://schemas.openxmlformats.org/officeDocument/2006/relationships/printerSettings" Target="../printerSettings/printerSettings11.bin"/><Relationship Id="rId2" Type="http://schemas.openxmlformats.org/officeDocument/2006/relationships/hyperlink" Target="https://www.energimyndigheten.se/forskning-och-innovation/projektdatabas/sokresultat/?projectid=34489" TargetMode="External"/><Relationship Id="rId16" Type="http://schemas.openxmlformats.org/officeDocument/2006/relationships/hyperlink" Target="https://www.energimyndigheten.se/forskning-och-innovation/projektdatabas/sokresultat/?projectid=31545" TargetMode="External"/><Relationship Id="rId20" Type="http://schemas.openxmlformats.org/officeDocument/2006/relationships/hyperlink" Target="https://www.energimyndigheten.se/forskning-och-innovation/projektdatabas/sokresultat/?projectid=30777" TargetMode="External"/><Relationship Id="rId29" Type="http://schemas.openxmlformats.org/officeDocument/2006/relationships/hyperlink" Target="https://www.energimyndigheten.se/forskning-och-innovation/projektdatabas/sokresultat/?projectid=26645" TargetMode="External"/><Relationship Id="rId41" Type="http://schemas.openxmlformats.org/officeDocument/2006/relationships/hyperlink" Target="https://www.energimyndigheten.se/forskning-och-innovation/projektdatabas/sokresultat/?projectid=33836" TargetMode="External"/><Relationship Id="rId1" Type="http://schemas.openxmlformats.org/officeDocument/2006/relationships/hyperlink" Target="https://www.energimyndigheten.se/forskning-och-innovation/projektdatabas/sokresultat/?projectid=34397" TargetMode="External"/><Relationship Id="rId6" Type="http://schemas.openxmlformats.org/officeDocument/2006/relationships/hyperlink" Target="https://www.energimyndigheten.se/forskning-och-innovation/projektdatabas/sokresultat/?projectid=32432" TargetMode="External"/><Relationship Id="rId11" Type="http://schemas.openxmlformats.org/officeDocument/2006/relationships/hyperlink" Target="https://www.energimyndigheten.se/forskning-och-innovation/projektdatabas/sokresultat/?projectid=32434" TargetMode="External"/><Relationship Id="rId24" Type="http://schemas.openxmlformats.org/officeDocument/2006/relationships/hyperlink" Target="https://www.energimyndigheten.se/forskning-och-innovation/projektdatabas/sokresultat/?projectid=27702" TargetMode="External"/><Relationship Id="rId32" Type="http://schemas.openxmlformats.org/officeDocument/2006/relationships/hyperlink" Target="https://www.energimyndigheten.se/forskning-och-innovation/projektdatabas/sokresultat/?projectid=24513" TargetMode="External"/><Relationship Id="rId37" Type="http://schemas.openxmlformats.org/officeDocument/2006/relationships/hyperlink" Target="https://www.energimyndigheten.se/forskning-och-innovation/projektdatabas/sokresultat/?projectid=23152" TargetMode="External"/><Relationship Id="rId40" Type="http://schemas.openxmlformats.org/officeDocument/2006/relationships/hyperlink" Target="https://www.energimyndigheten.se/forskning-och-innovation/projektdatabas/sokresultat/?projectid=34429" TargetMode="External"/><Relationship Id="rId45" Type="http://schemas.openxmlformats.org/officeDocument/2006/relationships/hyperlink" Target="https://www.energimyndigheten.se/forskning-och-innovation/projektdatabas/sokresultat/?projectid=32067" TargetMode="External"/><Relationship Id="rId5" Type="http://schemas.openxmlformats.org/officeDocument/2006/relationships/hyperlink" Target="https://www.energimyndigheten.se/forskning-och-innovation/projektdatabas/sokresultat/?projectid=29566" TargetMode="External"/><Relationship Id="rId15" Type="http://schemas.openxmlformats.org/officeDocument/2006/relationships/hyperlink" Target="https://www.energimyndigheten.se/forskning-och-innovation/projektdatabas/sokresultat/?projectid=31541" TargetMode="External"/><Relationship Id="rId23" Type="http://schemas.openxmlformats.org/officeDocument/2006/relationships/hyperlink" Target="https://www.energimyndigheten.se/forskning-och-innovation/projektdatabas/sokresultat/?projectid=27712" TargetMode="External"/><Relationship Id="rId28" Type="http://schemas.openxmlformats.org/officeDocument/2006/relationships/hyperlink" Target="https://www.energimyndigheten.se/forskning-och-innovation/projektdatabas/sokresultat/?projectid=26508" TargetMode="External"/><Relationship Id="rId36" Type="http://schemas.openxmlformats.org/officeDocument/2006/relationships/hyperlink" Target="https://www.energimyndigheten.se/forskning-och-innovation/projektdatabas/sokresultat/?projectid=24026" TargetMode="External"/><Relationship Id="rId10" Type="http://schemas.openxmlformats.org/officeDocument/2006/relationships/hyperlink" Target="https://www.energimyndigheten.se/forskning-och-innovation/projektdatabas/sokresultat/?projectid=32459" TargetMode="External"/><Relationship Id="rId19" Type="http://schemas.openxmlformats.org/officeDocument/2006/relationships/hyperlink" Target="https://www.energimyndigheten.se/forskning-och-innovation/projektdatabas/sokresultat/?projectid=29881" TargetMode="External"/><Relationship Id="rId31" Type="http://schemas.openxmlformats.org/officeDocument/2006/relationships/hyperlink" Target="https://www.energimyndigheten.se/forskning-och-innovation/projektdatabas/sokresultat/?projectid=25210" TargetMode="External"/><Relationship Id="rId44" Type="http://schemas.openxmlformats.org/officeDocument/2006/relationships/hyperlink" Target="https://www.energimyndigheten.se/forskning-och-innovation/projektdatabas/sokresultat/?projectid=25930" TargetMode="External"/><Relationship Id="rId4" Type="http://schemas.openxmlformats.org/officeDocument/2006/relationships/hyperlink" Target="https://www.energimyndigheten.se/forskning-och-innovation/projektdatabas/sokresultat/?projectid=34427" TargetMode="External"/><Relationship Id="rId9" Type="http://schemas.openxmlformats.org/officeDocument/2006/relationships/hyperlink" Target="https://www.energimyndigheten.se/forskning-och-innovation/projektdatabas/sokresultat/?projectid=32429" TargetMode="External"/><Relationship Id="rId14" Type="http://schemas.openxmlformats.org/officeDocument/2006/relationships/hyperlink" Target="https://www.energimyndigheten.se/forskning-och-innovation/projektdatabas/sokresultat/?projectid=31404" TargetMode="External"/><Relationship Id="rId22" Type="http://schemas.openxmlformats.org/officeDocument/2006/relationships/hyperlink" Target="https://www.energimyndigheten.se/forskning-och-innovation/projektdatabas/sokresultat/?projectid=28342" TargetMode="External"/><Relationship Id="rId27" Type="http://schemas.openxmlformats.org/officeDocument/2006/relationships/hyperlink" Target="https://www.energimyndigheten.se/forskning-och-innovation/projektdatabas/sokresultat/?projectid=27699" TargetMode="External"/><Relationship Id="rId30" Type="http://schemas.openxmlformats.org/officeDocument/2006/relationships/hyperlink" Target="https://www.energimyndigheten.se/forskning-och-innovation/projektdatabas/sokresultat/?projectid=26170" TargetMode="External"/><Relationship Id="rId35" Type="http://schemas.openxmlformats.org/officeDocument/2006/relationships/hyperlink" Target="https://www.energimyndigheten.se/forskning-och-innovation/projektdatabas/sokresultat/?projectid=25990" TargetMode="External"/><Relationship Id="rId43" Type="http://schemas.openxmlformats.org/officeDocument/2006/relationships/hyperlink" Target="https://www.energimyndigheten.se/forskning-och-innovation/projektdatabas/sokresultat/?projectid=29642"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rdis.europa.eu/programme/id/H2020_BBI.VC1.F1/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vt.tf.fau.d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sostenibilita.enea.it/projects/abc-0" TargetMode="External"/><Relationship Id="rId13" Type="http://schemas.openxmlformats.org/officeDocument/2006/relationships/hyperlink" Target="https://opencoesione.gov.it/it/progetti/1misepon02_00451_33623761/" TargetMode="External"/><Relationship Id="rId18" Type="http://schemas.openxmlformats.org/officeDocument/2006/relationships/hyperlink" Target="https://opencoesione.gov.it/en/progetti/1miseaim1848200-1/" TargetMode="External"/><Relationship Id="rId3" Type="http://schemas.openxmlformats.org/officeDocument/2006/relationships/hyperlink" Target="https://cercauniversita.cineca.it/php5/prin/cerca.php?codice=2015K7FZLH&amp;testo=hydrogen" TargetMode="External"/><Relationship Id="rId7" Type="http://schemas.openxmlformats.org/officeDocument/2006/relationships/hyperlink" Target="http://www.ponricerca.gov.it/comunicazione/example-projects/industrial-research-and-experimental-development-projects-in-the-12-specialization-areas/energies-for-the-environment-taranto/" TargetMode="External"/><Relationship Id="rId12" Type="http://schemas.openxmlformats.org/officeDocument/2006/relationships/hyperlink" Target="http://www.ipcb.cnr.it/index.php/en/42-projects/ongoing-projects/558-enerbiochem" TargetMode="External"/><Relationship Id="rId17" Type="http://schemas.openxmlformats.org/officeDocument/2006/relationships/hyperlink" Target="https://www.bioenpro4to.it/" TargetMode="External"/><Relationship Id="rId2" Type="http://schemas.openxmlformats.org/officeDocument/2006/relationships/hyperlink" Target="https://cercauniversita.cineca.it/php5/prin/cerca.php?codice=2015458EKA&amp;testo=biomass" TargetMode="External"/><Relationship Id="rId16" Type="http://schemas.openxmlformats.org/officeDocument/2006/relationships/hyperlink" Target="https://opencoesione.gov.it/en/progetti/7ve10231121/" TargetMode="External"/><Relationship Id="rId1" Type="http://schemas.openxmlformats.org/officeDocument/2006/relationships/hyperlink" Target="https://cercauniversita.cineca.it/php5/prin/cerca.php?codice=2015CTEBBA&amp;testo=biogas" TargetMode="External"/><Relationship Id="rId6" Type="http://schemas.openxmlformats.org/officeDocument/2006/relationships/hyperlink" Target="http://www.ponricerca.gov.it/comunicazione/example-projects/industrial-research-and-experimental-development-projects-in-the-12-specialization-areas/unihemp/" TargetMode="External"/><Relationship Id="rId11" Type="http://schemas.openxmlformats.org/officeDocument/2006/relationships/hyperlink" Target="https://www.novamont.com/public/Rebiochem/REBIOCHEM_ENG.PDF" TargetMode="External"/><Relationship Id="rId5" Type="http://schemas.openxmlformats.org/officeDocument/2006/relationships/hyperlink" Target="https://www.unitus.it/public/platforms/1/cke_contents/267/BIOFEEDSTOCK.pdf" TargetMode="External"/><Relationship Id="rId15" Type="http://schemas.openxmlformats.org/officeDocument/2006/relationships/hyperlink" Target="https://opencoesione.gov.it/it/progetti/6bofesr1028/" TargetMode="External"/><Relationship Id="rId10" Type="http://schemas.openxmlformats.org/officeDocument/2006/relationships/hyperlink" Target="https://www.novamont.com/public/Bit3G/BIT3G_ENG.PDF" TargetMode="External"/><Relationship Id="rId19" Type="http://schemas.openxmlformats.org/officeDocument/2006/relationships/printerSettings" Target="../printerSettings/printerSettings7.bin"/><Relationship Id="rId4" Type="http://schemas.openxmlformats.org/officeDocument/2006/relationships/hyperlink" Target="https://cercauniversita.cineca.it/php5/prin/cerca.php?codice=20154X9ATP&amp;testo=hydrogen" TargetMode="External"/><Relationship Id="rId9" Type="http://schemas.openxmlformats.org/officeDocument/2006/relationships/hyperlink" Target="https://www.biomass2015.net/it/" TargetMode="External"/><Relationship Id="rId14" Type="http://schemas.openxmlformats.org/officeDocument/2006/relationships/hyperlink" Target="https://opencoesione.gov.it/en/progetti/6lo116524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EA15A-5389-4C1C-BAB5-725ADA5D1F3E}">
  <dimension ref="A1"/>
  <sheetViews>
    <sheetView zoomScale="175" zoomScaleNormal="175" workbookViewId="0">
      <selection activeCell="J8" sqref="J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9379-0603-44FB-B99E-3B8E6CAB4E03}">
  <sheetPr>
    <pageSetUpPr fitToPage="1"/>
  </sheetPr>
  <dimension ref="A1:V45"/>
  <sheetViews>
    <sheetView zoomScale="90" zoomScaleNormal="90" workbookViewId="0"/>
  </sheetViews>
  <sheetFormatPr defaultRowHeight="15" x14ac:dyDescent="0.25"/>
  <cols>
    <col min="1" max="1" width="28.85546875" customWidth="1"/>
    <col min="2" max="2" width="15" hidden="1" customWidth="1"/>
    <col min="3" max="3" width="15.7109375" bestFit="1" customWidth="1"/>
    <col min="4" max="4" width="19.5703125" customWidth="1"/>
    <col min="5" max="5" width="17.85546875" customWidth="1"/>
    <col min="6" max="6" width="17" customWidth="1"/>
    <col min="7" max="7" width="13.140625" customWidth="1"/>
    <col min="8" max="8" width="11.7109375" customWidth="1"/>
    <col min="9" max="9" width="12.5703125" bestFit="1" customWidth="1"/>
    <col min="10" max="10" width="21.42578125" customWidth="1"/>
    <col min="11" max="11" width="11.5703125" customWidth="1"/>
    <col min="12" max="12" width="29" customWidth="1"/>
    <col min="15" max="15" width="11.42578125" bestFit="1" customWidth="1"/>
  </cols>
  <sheetData>
    <row r="1" spans="1:22" ht="33" customHeight="1" x14ac:dyDescent="0.35">
      <c r="A1" s="34" t="s">
        <v>799</v>
      </c>
    </row>
    <row r="2" spans="1:22" s="1" customFormat="1" ht="33.75" customHeight="1" x14ac:dyDescent="0.25">
      <c r="A2" s="8" t="s">
        <v>605</v>
      </c>
      <c r="B2" s="8" t="s">
        <v>2</v>
      </c>
      <c r="C2" s="8" t="s">
        <v>3</v>
      </c>
      <c r="D2" s="8" t="s">
        <v>4</v>
      </c>
      <c r="E2" s="9" t="s">
        <v>162</v>
      </c>
      <c r="F2" s="8" t="s">
        <v>163</v>
      </c>
      <c r="G2" s="8" t="s">
        <v>6</v>
      </c>
      <c r="H2" s="9" t="s">
        <v>7</v>
      </c>
      <c r="I2" s="8" t="s">
        <v>8</v>
      </c>
      <c r="J2" s="8" t="s">
        <v>9</v>
      </c>
      <c r="K2" s="9" t="s">
        <v>164</v>
      </c>
      <c r="L2" s="9" t="s">
        <v>11</v>
      </c>
    </row>
    <row r="3" spans="1:22" ht="90" x14ac:dyDescent="0.25">
      <c r="A3" s="14" t="s">
        <v>800</v>
      </c>
      <c r="B3" s="2"/>
      <c r="C3" s="18"/>
      <c r="D3" s="14" t="s">
        <v>801</v>
      </c>
      <c r="E3" s="2" t="s">
        <v>799</v>
      </c>
      <c r="F3" s="19" t="s">
        <v>802</v>
      </c>
      <c r="G3" s="18">
        <v>2016</v>
      </c>
      <c r="H3" s="18">
        <v>2018</v>
      </c>
      <c r="I3" s="18" t="s">
        <v>803</v>
      </c>
      <c r="J3" s="30">
        <v>104620</v>
      </c>
      <c r="K3" s="30">
        <v>40359.43</v>
      </c>
      <c r="L3" s="14" t="s">
        <v>804</v>
      </c>
    </row>
    <row r="4" spans="1:22" ht="90" x14ac:dyDescent="0.25">
      <c r="A4" s="3" t="s">
        <v>805</v>
      </c>
      <c r="B4" s="2"/>
      <c r="C4" s="18">
        <v>7</v>
      </c>
      <c r="D4" s="14" t="s">
        <v>801</v>
      </c>
      <c r="E4" s="2" t="s">
        <v>799</v>
      </c>
      <c r="F4" s="19" t="s">
        <v>802</v>
      </c>
      <c r="G4" s="18">
        <v>2016</v>
      </c>
      <c r="H4" s="18">
        <v>2018</v>
      </c>
      <c r="I4" s="18" t="s">
        <v>803</v>
      </c>
      <c r="J4" s="30">
        <v>66457</v>
      </c>
      <c r="K4" s="30">
        <v>50048.88</v>
      </c>
      <c r="L4" s="14" t="s">
        <v>804</v>
      </c>
      <c r="O4" s="28"/>
      <c r="R4" s="28"/>
    </row>
    <row r="5" spans="1:22" ht="90" x14ac:dyDescent="0.25">
      <c r="A5" s="3" t="s">
        <v>806</v>
      </c>
      <c r="B5" s="2"/>
      <c r="C5" s="18" t="s">
        <v>807</v>
      </c>
      <c r="D5" s="14" t="s">
        <v>801</v>
      </c>
      <c r="E5" s="2" t="s">
        <v>799</v>
      </c>
      <c r="F5" s="23" t="s">
        <v>808</v>
      </c>
      <c r="G5" s="46"/>
      <c r="H5" s="46"/>
      <c r="I5" s="18" t="s">
        <v>803</v>
      </c>
      <c r="J5" s="30">
        <v>243014</v>
      </c>
      <c r="K5" s="30">
        <v>193701.4</v>
      </c>
      <c r="O5" s="28"/>
    </row>
    <row r="6" spans="1:22" ht="90" x14ac:dyDescent="0.25">
      <c r="A6" s="3" t="s">
        <v>809</v>
      </c>
      <c r="B6" s="2"/>
      <c r="C6" s="18"/>
      <c r="D6" s="14" t="s">
        <v>801</v>
      </c>
      <c r="E6" s="2" t="s">
        <v>799</v>
      </c>
      <c r="F6" s="23" t="s">
        <v>808</v>
      </c>
      <c r="G6" s="46"/>
      <c r="H6" s="46"/>
      <c r="I6" s="18" t="s">
        <v>803</v>
      </c>
      <c r="J6" s="30">
        <v>152485</v>
      </c>
      <c r="K6" s="30">
        <v>121250.54</v>
      </c>
      <c r="O6" s="28"/>
    </row>
    <row r="7" spans="1:22" ht="45" x14ac:dyDescent="0.25">
      <c r="A7" s="3" t="s">
        <v>810</v>
      </c>
      <c r="B7" s="2"/>
      <c r="C7" s="18"/>
      <c r="D7" s="14" t="s">
        <v>811</v>
      </c>
      <c r="E7" s="2" t="s">
        <v>799</v>
      </c>
      <c r="F7" s="19" t="s">
        <v>812</v>
      </c>
      <c r="G7" s="18">
        <v>2017</v>
      </c>
      <c r="H7" s="18">
        <v>2019</v>
      </c>
      <c r="I7" s="18" t="s">
        <v>803</v>
      </c>
      <c r="J7" s="30">
        <v>143368.35999999999</v>
      </c>
      <c r="K7" s="30">
        <v>160632</v>
      </c>
      <c r="L7" s="14" t="s">
        <v>813</v>
      </c>
    </row>
    <row r="8" spans="1:22" ht="45" x14ac:dyDescent="0.25">
      <c r="A8" s="3" t="s">
        <v>814</v>
      </c>
      <c r="C8" s="46">
        <v>7</v>
      </c>
      <c r="D8" s="14" t="s">
        <v>815</v>
      </c>
      <c r="E8" s="2" t="s">
        <v>799</v>
      </c>
      <c r="F8" s="46" t="s">
        <v>816</v>
      </c>
      <c r="G8" s="46">
        <v>2023</v>
      </c>
      <c r="H8" s="46">
        <v>2025</v>
      </c>
      <c r="I8" s="47">
        <v>7</v>
      </c>
      <c r="J8" s="58"/>
      <c r="K8" s="58">
        <v>1400000</v>
      </c>
      <c r="L8" s="33" t="s">
        <v>817</v>
      </c>
      <c r="O8" s="28"/>
      <c r="Q8" s="46"/>
      <c r="R8" s="46"/>
      <c r="S8" s="46"/>
      <c r="U8" s="46"/>
      <c r="V8" s="46"/>
    </row>
    <row r="9" spans="1:22" ht="45" x14ac:dyDescent="0.25">
      <c r="A9" s="3" t="s">
        <v>818</v>
      </c>
      <c r="C9" s="46">
        <v>7</v>
      </c>
      <c r="D9" s="14" t="s">
        <v>815</v>
      </c>
      <c r="E9" s="2" t="s">
        <v>799</v>
      </c>
      <c r="F9" s="46" t="s">
        <v>819</v>
      </c>
      <c r="G9" s="46">
        <v>2023</v>
      </c>
      <c r="H9" s="46">
        <v>2025</v>
      </c>
      <c r="I9" s="47">
        <v>7</v>
      </c>
      <c r="J9" s="58">
        <v>10000000</v>
      </c>
      <c r="K9" s="46">
        <v>3900000</v>
      </c>
      <c r="L9" s="33" t="s">
        <v>817</v>
      </c>
      <c r="R9" s="46"/>
      <c r="S9" s="46"/>
    </row>
    <row r="10" spans="1:22" ht="45" x14ac:dyDescent="0.25">
      <c r="A10" s="3" t="s">
        <v>818</v>
      </c>
      <c r="C10" s="46">
        <v>7</v>
      </c>
      <c r="D10" s="14" t="s">
        <v>815</v>
      </c>
      <c r="E10" s="2" t="s">
        <v>799</v>
      </c>
      <c r="F10" s="46" t="s">
        <v>820</v>
      </c>
      <c r="G10" s="46">
        <v>2023</v>
      </c>
      <c r="H10" s="46">
        <v>2025</v>
      </c>
      <c r="I10" s="47">
        <v>7</v>
      </c>
      <c r="J10" s="46"/>
      <c r="K10" s="46">
        <v>4200000</v>
      </c>
      <c r="L10" s="33" t="s">
        <v>817</v>
      </c>
      <c r="N10" s="18"/>
      <c r="R10" s="46"/>
      <c r="S10" s="46"/>
    </row>
    <row r="11" spans="1:22" ht="45" x14ac:dyDescent="0.25">
      <c r="A11" s="3" t="s">
        <v>818</v>
      </c>
      <c r="C11" s="46">
        <v>7</v>
      </c>
      <c r="D11" s="14" t="s">
        <v>815</v>
      </c>
      <c r="E11" s="2" t="s">
        <v>799</v>
      </c>
      <c r="F11" s="46" t="s">
        <v>821</v>
      </c>
      <c r="G11" s="46">
        <v>2023</v>
      </c>
      <c r="H11" s="46">
        <v>2025</v>
      </c>
      <c r="I11" s="47">
        <v>7</v>
      </c>
      <c r="J11" s="46">
        <v>18500000</v>
      </c>
      <c r="K11" s="46">
        <v>8300000</v>
      </c>
      <c r="L11" s="33" t="s">
        <v>817</v>
      </c>
      <c r="N11" s="18"/>
      <c r="U11" s="46"/>
      <c r="V11" s="46"/>
    </row>
    <row r="12" spans="1:22" ht="45" x14ac:dyDescent="0.25">
      <c r="A12" s="3" t="s">
        <v>818</v>
      </c>
      <c r="C12" s="46">
        <v>7</v>
      </c>
      <c r="D12" s="14" t="s">
        <v>815</v>
      </c>
      <c r="E12" s="2" t="s">
        <v>799</v>
      </c>
      <c r="F12" s="46" t="s">
        <v>822</v>
      </c>
      <c r="G12" s="46">
        <v>2023</v>
      </c>
      <c r="H12" s="46">
        <v>2025</v>
      </c>
      <c r="I12" s="47">
        <v>7</v>
      </c>
      <c r="K12" s="46">
        <v>5000000</v>
      </c>
      <c r="L12" s="33" t="s">
        <v>817</v>
      </c>
      <c r="N12" s="18"/>
    </row>
    <row r="13" spans="1:22" ht="45" x14ac:dyDescent="0.25">
      <c r="A13" s="3" t="s">
        <v>818</v>
      </c>
      <c r="C13" s="46">
        <v>7</v>
      </c>
      <c r="D13" s="14" t="s">
        <v>815</v>
      </c>
      <c r="E13" s="2" t="s">
        <v>799</v>
      </c>
      <c r="F13" s="46" t="s">
        <v>823</v>
      </c>
      <c r="G13" s="46">
        <v>2023</v>
      </c>
      <c r="H13" s="46">
        <v>2025</v>
      </c>
      <c r="I13" s="47">
        <v>7</v>
      </c>
      <c r="J13" s="46">
        <v>15600000</v>
      </c>
      <c r="K13" s="46">
        <v>5600000</v>
      </c>
      <c r="L13" s="33" t="s">
        <v>817</v>
      </c>
      <c r="N13" s="18"/>
    </row>
    <row r="14" spans="1:22" ht="45" x14ac:dyDescent="0.25">
      <c r="A14" s="3" t="s">
        <v>818</v>
      </c>
      <c r="C14" s="46">
        <v>7</v>
      </c>
      <c r="D14" s="14" t="s">
        <v>815</v>
      </c>
      <c r="E14" s="2" t="s">
        <v>799</v>
      </c>
      <c r="F14" s="46" t="s">
        <v>824</v>
      </c>
      <c r="G14" s="46">
        <v>2023</v>
      </c>
      <c r="H14" s="46">
        <v>2025</v>
      </c>
      <c r="I14" s="47">
        <v>7</v>
      </c>
      <c r="J14" s="46">
        <v>8800000</v>
      </c>
      <c r="K14" s="46">
        <v>3700000</v>
      </c>
      <c r="L14" s="33" t="s">
        <v>817</v>
      </c>
      <c r="N14" s="18"/>
    </row>
    <row r="15" spans="1:22" ht="45" x14ac:dyDescent="0.25">
      <c r="A15" s="3" t="s">
        <v>818</v>
      </c>
      <c r="C15" s="46">
        <v>7</v>
      </c>
      <c r="D15" s="14" t="s">
        <v>815</v>
      </c>
      <c r="E15" s="2" t="s">
        <v>799</v>
      </c>
      <c r="F15" s="46" t="s">
        <v>825</v>
      </c>
      <c r="G15" s="46">
        <v>2023</v>
      </c>
      <c r="H15" s="46">
        <v>2025</v>
      </c>
      <c r="I15" s="47">
        <v>7</v>
      </c>
      <c r="J15" s="46">
        <v>8000000</v>
      </c>
      <c r="K15" s="46">
        <v>5500000</v>
      </c>
      <c r="L15" s="33" t="s">
        <v>817</v>
      </c>
      <c r="N15" s="18"/>
    </row>
    <row r="16" spans="1:22" ht="45" x14ac:dyDescent="0.25">
      <c r="A16" s="3" t="s">
        <v>818</v>
      </c>
      <c r="C16" s="46">
        <v>7</v>
      </c>
      <c r="D16" s="14" t="s">
        <v>815</v>
      </c>
      <c r="E16" s="2" t="s">
        <v>799</v>
      </c>
      <c r="F16" s="46" t="s">
        <v>825</v>
      </c>
      <c r="G16" s="46">
        <v>2023</v>
      </c>
      <c r="H16" s="46">
        <v>2025</v>
      </c>
      <c r="I16" s="47">
        <v>7</v>
      </c>
      <c r="J16" s="46">
        <v>5500000</v>
      </c>
      <c r="K16" s="46">
        <v>3500000</v>
      </c>
      <c r="L16" s="33" t="s">
        <v>817</v>
      </c>
      <c r="N16" s="18"/>
    </row>
    <row r="17" spans="1:15" ht="45" x14ac:dyDescent="0.25">
      <c r="A17" s="3" t="s">
        <v>818</v>
      </c>
      <c r="C17" s="46">
        <v>7</v>
      </c>
      <c r="D17" s="14" t="s">
        <v>815</v>
      </c>
      <c r="E17" s="2" t="s">
        <v>799</v>
      </c>
      <c r="F17" s="46" t="s">
        <v>826</v>
      </c>
      <c r="G17" s="46">
        <v>2023</v>
      </c>
      <c r="H17" s="46">
        <v>2025</v>
      </c>
      <c r="I17" s="47">
        <v>7</v>
      </c>
      <c r="J17" s="46">
        <v>6000000</v>
      </c>
      <c r="K17" s="46">
        <v>1960000</v>
      </c>
      <c r="L17" s="33" t="s">
        <v>817</v>
      </c>
      <c r="N17" s="18"/>
    </row>
    <row r="18" spans="1:15" ht="45" x14ac:dyDescent="0.25">
      <c r="A18" s="3" t="s">
        <v>818</v>
      </c>
      <c r="C18" s="46">
        <v>7</v>
      </c>
      <c r="D18" s="14" t="s">
        <v>815</v>
      </c>
      <c r="E18" s="2" t="s">
        <v>799</v>
      </c>
      <c r="F18" s="46" t="s">
        <v>827</v>
      </c>
      <c r="G18" s="46">
        <v>2023</v>
      </c>
      <c r="H18" s="46">
        <v>2025</v>
      </c>
      <c r="I18" s="47">
        <v>7</v>
      </c>
      <c r="J18" s="46">
        <v>6000000</v>
      </c>
      <c r="K18" s="46">
        <v>1700000</v>
      </c>
      <c r="L18" s="33" t="s">
        <v>817</v>
      </c>
      <c r="N18" s="18"/>
    </row>
    <row r="19" spans="1:15" ht="45" x14ac:dyDescent="0.25">
      <c r="A19" s="3" t="s">
        <v>818</v>
      </c>
      <c r="C19" s="46">
        <v>7</v>
      </c>
      <c r="D19" s="14" t="s">
        <v>815</v>
      </c>
      <c r="E19" s="2" t="s">
        <v>799</v>
      </c>
      <c r="F19" s="46" t="s">
        <v>828</v>
      </c>
      <c r="G19" s="46">
        <v>2023</v>
      </c>
      <c r="H19" s="46">
        <v>2025</v>
      </c>
      <c r="I19" s="47">
        <v>7</v>
      </c>
      <c r="J19" s="46">
        <v>17000000</v>
      </c>
      <c r="K19" s="46">
        <v>10000000</v>
      </c>
      <c r="L19" s="33" t="s">
        <v>817</v>
      </c>
      <c r="N19" s="18"/>
    </row>
    <row r="20" spans="1:15" ht="45" x14ac:dyDescent="0.25">
      <c r="A20" s="3" t="s">
        <v>818</v>
      </c>
      <c r="C20" s="46">
        <v>7</v>
      </c>
      <c r="D20" s="14" t="s">
        <v>815</v>
      </c>
      <c r="E20" s="2" t="s">
        <v>799</v>
      </c>
      <c r="F20" s="46" t="s">
        <v>829</v>
      </c>
      <c r="G20" s="46">
        <v>2023</v>
      </c>
      <c r="H20" s="46">
        <v>2025</v>
      </c>
      <c r="I20" s="47">
        <v>7</v>
      </c>
      <c r="J20" s="46">
        <v>28000000</v>
      </c>
      <c r="K20" s="46">
        <v>4500000</v>
      </c>
      <c r="L20" s="33" t="s">
        <v>817</v>
      </c>
      <c r="N20" s="18"/>
    </row>
    <row r="21" spans="1:15" ht="45" x14ac:dyDescent="0.25">
      <c r="A21" s="3" t="s">
        <v>818</v>
      </c>
      <c r="C21" s="46">
        <v>7</v>
      </c>
      <c r="D21" s="14" t="s">
        <v>815</v>
      </c>
      <c r="E21" s="2" t="s">
        <v>799</v>
      </c>
      <c r="F21" s="46" t="s">
        <v>830</v>
      </c>
      <c r="G21" s="46">
        <v>2023</v>
      </c>
      <c r="H21" s="46">
        <v>2025</v>
      </c>
      <c r="I21" s="47">
        <v>7</v>
      </c>
      <c r="J21" s="46">
        <v>150000000</v>
      </c>
      <c r="K21" s="46">
        <v>3000000</v>
      </c>
      <c r="L21" s="33" t="s">
        <v>817</v>
      </c>
      <c r="N21" s="18"/>
    </row>
    <row r="22" spans="1:15" ht="45" x14ac:dyDescent="0.25">
      <c r="A22" s="3" t="s">
        <v>818</v>
      </c>
      <c r="C22" s="46">
        <v>7</v>
      </c>
      <c r="D22" s="14" t="s">
        <v>815</v>
      </c>
      <c r="E22" s="2" t="s">
        <v>799</v>
      </c>
      <c r="F22" s="46" t="s">
        <v>831</v>
      </c>
      <c r="G22" s="46">
        <v>2023</v>
      </c>
      <c r="H22" s="46">
        <v>2025</v>
      </c>
      <c r="I22" s="47">
        <v>7</v>
      </c>
      <c r="J22" s="46">
        <v>17000000</v>
      </c>
      <c r="K22" s="46">
        <v>3700000</v>
      </c>
      <c r="L22" s="33" t="s">
        <v>817</v>
      </c>
      <c r="N22" s="18"/>
    </row>
    <row r="23" spans="1:15" ht="45" x14ac:dyDescent="0.25">
      <c r="A23" s="3" t="s">
        <v>818</v>
      </c>
      <c r="C23" s="46">
        <v>7</v>
      </c>
      <c r="D23" s="14" t="s">
        <v>815</v>
      </c>
      <c r="E23" s="2" t="s">
        <v>799</v>
      </c>
      <c r="F23" s="46" t="s">
        <v>832</v>
      </c>
      <c r="G23" s="46">
        <v>2023</v>
      </c>
      <c r="H23" s="46">
        <v>2025</v>
      </c>
      <c r="I23" s="47">
        <v>7</v>
      </c>
      <c r="K23" s="46">
        <v>5600000</v>
      </c>
      <c r="L23" s="33" t="s">
        <v>817</v>
      </c>
      <c r="O23" s="28"/>
    </row>
    <row r="24" spans="1:15" ht="45" x14ac:dyDescent="0.25">
      <c r="A24" s="3" t="s">
        <v>818</v>
      </c>
      <c r="C24" s="46">
        <v>7</v>
      </c>
      <c r="D24" s="14" t="s">
        <v>815</v>
      </c>
      <c r="E24" s="2" t="s">
        <v>799</v>
      </c>
      <c r="F24" s="46" t="s">
        <v>833</v>
      </c>
      <c r="G24" s="46">
        <v>2023</v>
      </c>
      <c r="H24" s="46">
        <v>2025</v>
      </c>
      <c r="I24" s="47">
        <v>7</v>
      </c>
      <c r="K24" s="46">
        <v>4900000</v>
      </c>
      <c r="L24" s="33" t="s">
        <v>817</v>
      </c>
    </row>
    <row r="25" spans="1:15" ht="45" x14ac:dyDescent="0.25">
      <c r="A25" s="3" t="s">
        <v>834</v>
      </c>
      <c r="C25" s="46">
        <v>1</v>
      </c>
      <c r="D25" s="14" t="s">
        <v>815</v>
      </c>
      <c r="E25" s="2" t="s">
        <v>799</v>
      </c>
      <c r="F25" s="46" t="s">
        <v>835</v>
      </c>
      <c r="G25" s="46">
        <v>2023</v>
      </c>
      <c r="H25" s="46">
        <v>2025</v>
      </c>
      <c r="I25" s="47">
        <v>7</v>
      </c>
      <c r="J25" s="46">
        <v>6000000</v>
      </c>
      <c r="K25" s="46">
        <v>2400000</v>
      </c>
      <c r="L25" s="33" t="s">
        <v>817</v>
      </c>
    </row>
    <row r="26" spans="1:15" ht="45" x14ac:dyDescent="0.25">
      <c r="A26" s="3" t="s">
        <v>834</v>
      </c>
      <c r="C26" s="46" t="s">
        <v>61</v>
      </c>
      <c r="D26" s="14" t="s">
        <v>815</v>
      </c>
      <c r="E26" s="2" t="s">
        <v>799</v>
      </c>
      <c r="F26" s="46" t="s">
        <v>836</v>
      </c>
      <c r="G26" s="46">
        <v>2023</v>
      </c>
      <c r="H26" s="46">
        <v>2025</v>
      </c>
      <c r="I26" s="47">
        <v>7</v>
      </c>
      <c r="J26" s="46">
        <v>7000000</v>
      </c>
      <c r="K26" s="46">
        <v>2700000</v>
      </c>
      <c r="L26" s="33" t="s">
        <v>817</v>
      </c>
    </row>
    <row r="27" spans="1:15" ht="45" x14ac:dyDescent="0.25">
      <c r="A27" s="3" t="s">
        <v>818</v>
      </c>
      <c r="C27" s="46">
        <v>7</v>
      </c>
      <c r="D27" s="14" t="s">
        <v>815</v>
      </c>
      <c r="E27" s="2" t="s">
        <v>799</v>
      </c>
      <c r="F27" s="46" t="s">
        <v>837</v>
      </c>
      <c r="G27" s="46">
        <v>2023</v>
      </c>
      <c r="H27" s="46">
        <v>2025</v>
      </c>
      <c r="I27" s="47">
        <v>7</v>
      </c>
      <c r="K27" s="46">
        <v>2200000</v>
      </c>
      <c r="L27" s="33" t="s">
        <v>817</v>
      </c>
    </row>
    <row r="28" spans="1:15" ht="45" x14ac:dyDescent="0.25">
      <c r="A28" s="3" t="s">
        <v>818</v>
      </c>
      <c r="C28" s="46">
        <v>7</v>
      </c>
      <c r="D28" s="14" t="s">
        <v>815</v>
      </c>
      <c r="E28" s="2" t="s">
        <v>799</v>
      </c>
      <c r="F28" s="46"/>
      <c r="G28" s="46">
        <v>2023</v>
      </c>
      <c r="H28" s="46">
        <v>2025</v>
      </c>
      <c r="I28" s="47">
        <v>7</v>
      </c>
      <c r="L28" s="33" t="s">
        <v>817</v>
      </c>
    </row>
    <row r="29" spans="1:15" ht="45" x14ac:dyDescent="0.25">
      <c r="A29" s="3" t="s">
        <v>818</v>
      </c>
      <c r="C29" s="46">
        <v>7</v>
      </c>
      <c r="D29" s="14" t="s">
        <v>815</v>
      </c>
      <c r="E29" s="2" t="s">
        <v>799</v>
      </c>
      <c r="F29" s="46"/>
      <c r="G29" s="46">
        <v>2023</v>
      </c>
      <c r="H29" s="46">
        <v>2025</v>
      </c>
      <c r="I29" s="47">
        <v>7</v>
      </c>
      <c r="L29" s="33" t="s">
        <v>817</v>
      </c>
    </row>
    <row r="31" spans="1:15" x14ac:dyDescent="0.25">
      <c r="J31" s="58">
        <f>SUM(J3:J29)</f>
        <v>304109944.36000001</v>
      </c>
      <c r="K31" s="97">
        <f>SUM(K3:K29)</f>
        <v>84325992.25</v>
      </c>
      <c r="L31" s="107" t="e">
        <f>SUM(#REF!)</f>
        <v>#REF!</v>
      </c>
    </row>
    <row r="32" spans="1:15" x14ac:dyDescent="0.25">
      <c r="J32" s="46" t="s">
        <v>838</v>
      </c>
      <c r="K32" s="46" t="s">
        <v>839</v>
      </c>
      <c r="L32" t="s">
        <v>211</v>
      </c>
    </row>
    <row r="33" spans="3:12" x14ac:dyDescent="0.25">
      <c r="C33" s="18"/>
    </row>
    <row r="34" spans="3:12" x14ac:dyDescent="0.25">
      <c r="C34" s="18"/>
    </row>
    <row r="35" spans="3:12" x14ac:dyDescent="0.25">
      <c r="C35" s="18"/>
      <c r="L35" s="28"/>
    </row>
    <row r="36" spans="3:12" x14ac:dyDescent="0.25">
      <c r="C36" s="18"/>
      <c r="J36" s="158"/>
      <c r="K36" s="158"/>
      <c r="L36" s="46"/>
    </row>
    <row r="37" spans="3:12" x14ac:dyDescent="0.25">
      <c r="C37" s="18"/>
    </row>
    <row r="38" spans="3:12" x14ac:dyDescent="0.25">
      <c r="C38" s="18"/>
    </row>
    <row r="39" spans="3:12" x14ac:dyDescent="0.25">
      <c r="C39" s="18"/>
    </row>
    <row r="40" spans="3:12" x14ac:dyDescent="0.25">
      <c r="C40" s="18"/>
    </row>
    <row r="41" spans="3:12" x14ac:dyDescent="0.25">
      <c r="C41" s="18"/>
    </row>
    <row r="42" spans="3:12" x14ac:dyDescent="0.25">
      <c r="C42" s="18"/>
    </row>
    <row r="43" spans="3:12" x14ac:dyDescent="0.25">
      <c r="C43" s="18"/>
    </row>
    <row r="44" spans="3:12" x14ac:dyDescent="0.25">
      <c r="C44" s="18"/>
    </row>
    <row r="45" spans="3:12" x14ac:dyDescent="0.25">
      <c r="C45" s="18"/>
    </row>
  </sheetData>
  <mergeCells count="1">
    <mergeCell ref="J36:K36"/>
  </mergeCells>
  <pageMargins left="0.7" right="0.7" top="0.75" bottom="0.75" header="0.3" footer="0.3"/>
  <pageSetup paperSize="9" scale="57"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3F77C-107C-42A2-93EC-4653C6B8309B}">
  <sheetPr>
    <pageSetUpPr fitToPage="1"/>
  </sheetPr>
  <dimension ref="A1:M70"/>
  <sheetViews>
    <sheetView zoomScale="90" zoomScaleNormal="90" workbookViewId="0"/>
  </sheetViews>
  <sheetFormatPr defaultRowHeight="15" x14ac:dyDescent="0.25"/>
  <cols>
    <col min="1" max="1" width="67.28515625" customWidth="1"/>
    <col min="2" max="2" width="14" hidden="1" customWidth="1"/>
    <col min="3" max="3" width="14" customWidth="1"/>
    <col min="4" max="4" width="23.140625" bestFit="1" customWidth="1"/>
    <col min="5" max="5" width="27.28515625" customWidth="1"/>
    <col min="6" max="6" width="22.140625" customWidth="1"/>
    <col min="7" max="7" width="13.85546875" customWidth="1"/>
    <col min="8" max="8" width="14" customWidth="1"/>
    <col min="9" max="9" width="9.140625" bestFit="1" customWidth="1"/>
    <col min="10" max="10" width="17.42578125" customWidth="1"/>
    <col min="11" max="11" width="13.7109375" customWidth="1"/>
    <col min="12" max="12" width="39.42578125" customWidth="1"/>
    <col min="13" max="13" width="65.85546875" customWidth="1"/>
  </cols>
  <sheetData>
    <row r="1" spans="1:12" ht="39.75" customHeight="1" x14ac:dyDescent="0.35">
      <c r="A1" s="34" t="s">
        <v>39</v>
      </c>
      <c r="C1" s="18"/>
      <c r="D1" s="18"/>
      <c r="E1" s="18"/>
      <c r="F1" s="18"/>
      <c r="G1" s="18"/>
      <c r="H1" s="18"/>
      <c r="I1" s="18"/>
      <c r="J1" s="18"/>
      <c r="K1" s="18"/>
    </row>
    <row r="2" spans="1:12" s="1" customFormat="1" ht="31.5" x14ac:dyDescent="0.25">
      <c r="A2" s="8" t="s">
        <v>1</v>
      </c>
      <c r="B2" s="8" t="s">
        <v>2</v>
      </c>
      <c r="C2" s="27" t="s">
        <v>3</v>
      </c>
      <c r="D2" s="8" t="s">
        <v>4</v>
      </c>
      <c r="E2" s="9" t="s">
        <v>162</v>
      </c>
      <c r="F2" s="8" t="s">
        <v>163</v>
      </c>
      <c r="G2" s="8" t="s">
        <v>6</v>
      </c>
      <c r="H2" s="9" t="s">
        <v>7</v>
      </c>
      <c r="I2" s="9" t="s">
        <v>8</v>
      </c>
      <c r="J2" s="8" t="s">
        <v>9</v>
      </c>
      <c r="K2" s="9" t="s">
        <v>164</v>
      </c>
      <c r="L2" s="9" t="s">
        <v>11</v>
      </c>
    </row>
    <row r="3" spans="1:12" ht="60" x14ac:dyDescent="0.25">
      <c r="A3" s="177" t="s">
        <v>840</v>
      </c>
      <c r="B3" s="238"/>
      <c r="C3" s="195">
        <v>2</v>
      </c>
      <c r="D3" s="195" t="s">
        <v>841</v>
      </c>
      <c r="E3" s="239" t="s">
        <v>842</v>
      </c>
      <c r="F3" s="239" t="s">
        <v>843</v>
      </c>
      <c r="G3" s="197">
        <v>2019</v>
      </c>
      <c r="H3" s="198">
        <v>2021</v>
      </c>
      <c r="I3" s="197" t="s">
        <v>99</v>
      </c>
      <c r="J3" s="199">
        <v>1100000</v>
      </c>
      <c r="K3" s="199">
        <v>700000</v>
      </c>
      <c r="L3" s="177" t="s">
        <v>844</v>
      </c>
    </row>
    <row r="4" spans="1:12" ht="60" x14ac:dyDescent="0.25">
      <c r="A4" s="196" t="s">
        <v>845</v>
      </c>
      <c r="B4" s="238"/>
      <c r="C4" s="195" t="s">
        <v>846</v>
      </c>
      <c r="D4" s="195" t="s">
        <v>841</v>
      </c>
      <c r="E4" s="239" t="s">
        <v>847</v>
      </c>
      <c r="F4" s="239" t="s">
        <v>848</v>
      </c>
      <c r="G4" s="197">
        <v>2017</v>
      </c>
      <c r="H4" s="198">
        <v>2020</v>
      </c>
      <c r="I4" s="197" t="s">
        <v>99</v>
      </c>
      <c r="J4" s="199">
        <v>1100000</v>
      </c>
      <c r="K4" s="199">
        <v>600000</v>
      </c>
      <c r="L4" s="185" t="s">
        <v>849</v>
      </c>
    </row>
    <row r="5" spans="1:12" ht="60" x14ac:dyDescent="0.25">
      <c r="A5" s="196" t="s">
        <v>850</v>
      </c>
      <c r="B5" s="238" t="s">
        <v>21</v>
      </c>
      <c r="C5" s="195">
        <v>2</v>
      </c>
      <c r="D5" s="195" t="s">
        <v>841</v>
      </c>
      <c r="E5" s="239" t="s">
        <v>851</v>
      </c>
      <c r="F5" s="239" t="s">
        <v>852</v>
      </c>
      <c r="G5" s="197">
        <v>2018</v>
      </c>
      <c r="H5" s="198">
        <v>2020</v>
      </c>
      <c r="I5" s="197" t="s">
        <v>99</v>
      </c>
      <c r="J5" s="199">
        <v>700000</v>
      </c>
      <c r="K5" s="199">
        <v>400000</v>
      </c>
      <c r="L5" s="185" t="s">
        <v>853</v>
      </c>
    </row>
    <row r="6" spans="1:12" ht="60" x14ac:dyDescent="0.25">
      <c r="A6" s="196" t="s">
        <v>854</v>
      </c>
      <c r="B6" s="238" t="s">
        <v>511</v>
      </c>
      <c r="C6" s="195">
        <v>4</v>
      </c>
      <c r="D6" s="195" t="s">
        <v>855</v>
      </c>
      <c r="E6" s="239" t="s">
        <v>856</v>
      </c>
      <c r="F6" s="195" t="s">
        <v>857</v>
      </c>
      <c r="G6" s="197">
        <v>2019</v>
      </c>
      <c r="H6" s="198">
        <v>2021</v>
      </c>
      <c r="I6" s="197" t="s">
        <v>150</v>
      </c>
      <c r="J6" s="199">
        <v>360000</v>
      </c>
      <c r="K6" s="199">
        <v>340000</v>
      </c>
      <c r="L6" s="185" t="s">
        <v>858</v>
      </c>
    </row>
    <row r="7" spans="1:12" ht="60" x14ac:dyDescent="0.25">
      <c r="A7" s="196" t="s">
        <v>859</v>
      </c>
      <c r="B7" s="238" t="s">
        <v>373</v>
      </c>
      <c r="C7" s="195">
        <v>4</v>
      </c>
      <c r="D7" s="195" t="s">
        <v>855</v>
      </c>
      <c r="E7" s="239" t="s">
        <v>860</v>
      </c>
      <c r="F7" s="239" t="s">
        <v>861</v>
      </c>
      <c r="G7" s="197">
        <v>2019</v>
      </c>
      <c r="H7" s="198">
        <v>2022</v>
      </c>
      <c r="I7" s="197" t="s">
        <v>150</v>
      </c>
      <c r="J7" s="199">
        <v>700000</v>
      </c>
      <c r="K7" s="240">
        <v>300000</v>
      </c>
      <c r="L7" s="185" t="s">
        <v>862</v>
      </c>
    </row>
    <row r="8" spans="1:12" ht="60" x14ac:dyDescent="0.25">
      <c r="A8" s="196" t="s">
        <v>863</v>
      </c>
      <c r="B8" s="238" t="s">
        <v>864</v>
      </c>
      <c r="C8" s="195">
        <v>1</v>
      </c>
      <c r="D8" s="195" t="s">
        <v>855</v>
      </c>
      <c r="E8" s="239" t="s">
        <v>856</v>
      </c>
      <c r="F8" s="239" t="s">
        <v>865</v>
      </c>
      <c r="G8" s="197">
        <v>2019</v>
      </c>
      <c r="H8" s="198">
        <v>2021</v>
      </c>
      <c r="I8" s="197" t="s">
        <v>150</v>
      </c>
      <c r="J8" s="199">
        <v>450000</v>
      </c>
      <c r="K8" s="199">
        <v>250000</v>
      </c>
      <c r="L8" s="185" t="s">
        <v>866</v>
      </c>
    </row>
    <row r="9" spans="1:12" ht="60" x14ac:dyDescent="0.25">
      <c r="A9" s="196" t="s">
        <v>867</v>
      </c>
      <c r="B9" s="238" t="s">
        <v>435</v>
      </c>
      <c r="C9" s="195">
        <v>1</v>
      </c>
      <c r="D9" s="195" t="s">
        <v>855</v>
      </c>
      <c r="E9" s="239" t="s">
        <v>868</v>
      </c>
      <c r="F9" s="239" t="s">
        <v>869</v>
      </c>
      <c r="G9" s="197">
        <v>2019</v>
      </c>
      <c r="H9" s="198">
        <v>2021</v>
      </c>
      <c r="I9" s="197" t="s">
        <v>150</v>
      </c>
      <c r="J9" s="199">
        <v>290000</v>
      </c>
      <c r="K9" s="199">
        <v>200000</v>
      </c>
      <c r="L9" s="185" t="s">
        <v>870</v>
      </c>
    </row>
    <row r="10" spans="1:12" ht="60" x14ac:dyDescent="0.25">
      <c r="A10" s="196" t="s">
        <v>871</v>
      </c>
      <c r="B10" s="238" t="s">
        <v>159</v>
      </c>
      <c r="C10" s="195">
        <v>7</v>
      </c>
      <c r="D10" s="195" t="s">
        <v>855</v>
      </c>
      <c r="E10" s="239" t="s">
        <v>872</v>
      </c>
      <c r="F10" s="239" t="s">
        <v>873</v>
      </c>
      <c r="G10" s="197">
        <v>2020</v>
      </c>
      <c r="H10" s="198">
        <v>2024</v>
      </c>
      <c r="I10" s="197" t="s">
        <v>150</v>
      </c>
      <c r="J10" s="199">
        <v>600000</v>
      </c>
      <c r="K10" s="199">
        <v>214000</v>
      </c>
      <c r="L10" s="185" t="s">
        <v>874</v>
      </c>
    </row>
    <row r="11" spans="1:12" ht="60" x14ac:dyDescent="0.25">
      <c r="A11" s="196" t="s">
        <v>875</v>
      </c>
      <c r="B11" s="238" t="s">
        <v>87</v>
      </c>
      <c r="C11" s="195">
        <v>2</v>
      </c>
      <c r="D11" s="195" t="s">
        <v>841</v>
      </c>
      <c r="E11" s="239" t="s">
        <v>856</v>
      </c>
      <c r="F11" s="239" t="s">
        <v>876</v>
      </c>
      <c r="G11" s="197">
        <v>2019</v>
      </c>
      <c r="H11" s="198">
        <v>2021</v>
      </c>
      <c r="I11" s="197" t="s">
        <v>99</v>
      </c>
      <c r="J11" s="199">
        <v>560000</v>
      </c>
      <c r="K11" s="199">
        <v>480000</v>
      </c>
      <c r="L11" s="177" t="s">
        <v>877</v>
      </c>
    </row>
    <row r="12" spans="1:12" ht="75" x14ac:dyDescent="0.25">
      <c r="A12" s="196" t="s">
        <v>878</v>
      </c>
      <c r="B12" s="238" t="s">
        <v>879</v>
      </c>
      <c r="C12" s="195">
        <v>4</v>
      </c>
      <c r="D12" s="195" t="s">
        <v>855</v>
      </c>
      <c r="E12" s="239" t="s">
        <v>880</v>
      </c>
      <c r="F12" s="239" t="s">
        <v>881</v>
      </c>
      <c r="G12" s="197">
        <v>2019</v>
      </c>
      <c r="H12" s="198">
        <v>2021</v>
      </c>
      <c r="I12" s="197" t="s">
        <v>150</v>
      </c>
      <c r="J12" s="199">
        <v>290000</v>
      </c>
      <c r="K12" s="199">
        <v>250000</v>
      </c>
      <c r="L12" s="185" t="s">
        <v>882</v>
      </c>
    </row>
    <row r="13" spans="1:12" ht="60" x14ac:dyDescent="0.25">
      <c r="A13" s="196" t="s">
        <v>883</v>
      </c>
      <c r="B13" s="238" t="s">
        <v>884</v>
      </c>
      <c r="C13" s="195">
        <v>1</v>
      </c>
      <c r="D13" s="195" t="s">
        <v>855</v>
      </c>
      <c r="E13" s="239" t="s">
        <v>868</v>
      </c>
      <c r="F13" s="239" t="s">
        <v>885</v>
      </c>
      <c r="G13" s="197">
        <v>2019</v>
      </c>
      <c r="H13" s="198">
        <v>2021</v>
      </c>
      <c r="I13" s="197" t="s">
        <v>150</v>
      </c>
      <c r="J13" s="199">
        <v>290000</v>
      </c>
      <c r="K13" s="199">
        <v>280000</v>
      </c>
      <c r="L13" s="185" t="s">
        <v>886</v>
      </c>
    </row>
    <row r="14" spans="1:12" ht="60" x14ac:dyDescent="0.25">
      <c r="A14" s="196" t="s">
        <v>887</v>
      </c>
      <c r="B14" s="238" t="s">
        <v>159</v>
      </c>
      <c r="C14" s="195">
        <v>7</v>
      </c>
      <c r="D14" s="195" t="s">
        <v>855</v>
      </c>
      <c r="E14" s="239" t="s">
        <v>872</v>
      </c>
      <c r="F14" s="239" t="s">
        <v>888</v>
      </c>
      <c r="G14" s="197">
        <v>2019</v>
      </c>
      <c r="H14" s="198">
        <v>2021</v>
      </c>
      <c r="I14" s="197" t="s">
        <v>889</v>
      </c>
      <c r="J14" s="199">
        <v>210000</v>
      </c>
      <c r="K14" s="199">
        <v>190000</v>
      </c>
      <c r="L14" s="185" t="s">
        <v>890</v>
      </c>
    </row>
    <row r="15" spans="1:12" ht="45" x14ac:dyDescent="0.25">
      <c r="A15" s="196" t="s">
        <v>891</v>
      </c>
      <c r="B15" s="238" t="s">
        <v>159</v>
      </c>
      <c r="C15" s="195">
        <v>4</v>
      </c>
      <c r="D15" s="195" t="s">
        <v>855</v>
      </c>
      <c r="E15" s="239" t="s">
        <v>872</v>
      </c>
      <c r="F15" s="239" t="s">
        <v>892</v>
      </c>
      <c r="G15" s="197">
        <v>2018</v>
      </c>
      <c r="H15" s="198">
        <v>2021</v>
      </c>
      <c r="I15" s="197" t="s">
        <v>150</v>
      </c>
      <c r="J15" s="199">
        <v>2500000</v>
      </c>
      <c r="K15" s="199">
        <v>1500000</v>
      </c>
      <c r="L15" s="185" t="s">
        <v>893</v>
      </c>
    </row>
    <row r="16" spans="1:12" ht="60" x14ac:dyDescent="0.25">
      <c r="A16" s="196" t="s">
        <v>894</v>
      </c>
      <c r="B16" s="238" t="s">
        <v>52</v>
      </c>
      <c r="C16" s="195">
        <v>1</v>
      </c>
      <c r="D16" s="195" t="s">
        <v>855</v>
      </c>
      <c r="E16" s="239" t="s">
        <v>895</v>
      </c>
      <c r="F16" s="239" t="s">
        <v>896</v>
      </c>
      <c r="G16" s="197">
        <v>2018</v>
      </c>
      <c r="H16" s="198">
        <v>2021</v>
      </c>
      <c r="I16" s="197" t="s">
        <v>150</v>
      </c>
      <c r="J16" s="199">
        <v>600000</v>
      </c>
      <c r="K16" s="199">
        <v>500000</v>
      </c>
      <c r="L16" s="185" t="s">
        <v>893</v>
      </c>
    </row>
    <row r="17" spans="1:13" ht="75" x14ac:dyDescent="0.25">
      <c r="A17" s="196" t="s">
        <v>897</v>
      </c>
      <c r="B17" s="238" t="s">
        <v>159</v>
      </c>
      <c r="C17" s="198">
        <v>7</v>
      </c>
      <c r="D17" s="195" t="s">
        <v>841</v>
      </c>
      <c r="E17" s="239" t="s">
        <v>898</v>
      </c>
      <c r="F17" s="239" t="s">
        <v>899</v>
      </c>
      <c r="G17" s="197">
        <v>2018</v>
      </c>
      <c r="H17" s="198">
        <v>2020</v>
      </c>
      <c r="I17" s="197" t="s">
        <v>150</v>
      </c>
      <c r="J17" s="199">
        <v>1300000</v>
      </c>
      <c r="K17" s="199">
        <v>780000</v>
      </c>
      <c r="L17" s="185" t="s">
        <v>900</v>
      </c>
    </row>
    <row r="18" spans="1:13" ht="60" x14ac:dyDescent="0.25">
      <c r="A18" s="196" t="s">
        <v>901</v>
      </c>
      <c r="B18" s="241" t="s">
        <v>159</v>
      </c>
      <c r="C18" s="197">
        <v>7</v>
      </c>
      <c r="D18" s="195" t="s">
        <v>841</v>
      </c>
      <c r="E18" s="239" t="s">
        <v>902</v>
      </c>
      <c r="F18" s="195" t="s">
        <v>903</v>
      </c>
      <c r="G18" s="197">
        <v>2018</v>
      </c>
      <c r="H18" s="198">
        <v>2020</v>
      </c>
      <c r="I18" s="197" t="s">
        <v>150</v>
      </c>
      <c r="J18" s="199">
        <v>1900000</v>
      </c>
      <c r="K18" s="199">
        <v>1000000</v>
      </c>
      <c r="L18" s="177" t="s">
        <v>904</v>
      </c>
    </row>
    <row r="19" spans="1:13" x14ac:dyDescent="0.25">
      <c r="A19" s="152" t="s">
        <v>239</v>
      </c>
      <c r="B19" s="152"/>
      <c r="C19" s="152"/>
      <c r="D19" s="152"/>
      <c r="E19" s="152"/>
      <c r="F19" s="152"/>
      <c r="G19" s="152"/>
      <c r="H19" s="152"/>
      <c r="I19" s="152"/>
      <c r="J19" s="152"/>
      <c r="K19" s="152"/>
      <c r="L19" s="152"/>
    </row>
    <row r="20" spans="1:13" ht="60" x14ac:dyDescent="0.25">
      <c r="A20" s="19" t="s">
        <v>905</v>
      </c>
      <c r="C20" s="41">
        <v>7</v>
      </c>
      <c r="D20" s="41" t="s">
        <v>841</v>
      </c>
      <c r="E20" s="41" t="s">
        <v>39</v>
      </c>
      <c r="F20" s="41" t="s">
        <v>906</v>
      </c>
      <c r="G20" s="18">
        <v>2022</v>
      </c>
      <c r="H20" s="65">
        <v>2025</v>
      </c>
      <c r="I20" s="18" t="s">
        <v>150</v>
      </c>
      <c r="J20" s="30">
        <v>6204683</v>
      </c>
      <c r="K20" s="30">
        <v>4116826.3</v>
      </c>
      <c r="L20" s="14" t="s">
        <v>900</v>
      </c>
      <c r="M20" s="131" t="s">
        <v>907</v>
      </c>
    </row>
    <row r="21" spans="1:13" ht="60" x14ac:dyDescent="0.25">
      <c r="A21" s="19" t="s">
        <v>908</v>
      </c>
      <c r="C21" s="41">
        <v>8</v>
      </c>
      <c r="D21" s="41" t="s">
        <v>841</v>
      </c>
      <c r="E21" s="41" t="s">
        <v>39</v>
      </c>
      <c r="F21" s="41" t="s">
        <v>909</v>
      </c>
      <c r="G21" s="18">
        <v>2022</v>
      </c>
      <c r="H21" s="65">
        <v>2024</v>
      </c>
      <c r="I21" s="18" t="s">
        <v>150</v>
      </c>
      <c r="J21" s="30">
        <v>2790618</v>
      </c>
      <c r="K21" s="30">
        <v>2141487.35</v>
      </c>
      <c r="L21" s="14" t="s">
        <v>900</v>
      </c>
      <c r="M21" s="131" t="s">
        <v>910</v>
      </c>
    </row>
    <row r="22" spans="1:13" ht="60" x14ac:dyDescent="0.25">
      <c r="A22" s="19" t="s">
        <v>911</v>
      </c>
      <c r="C22" s="41">
        <v>7</v>
      </c>
      <c r="D22" s="41" t="s">
        <v>841</v>
      </c>
      <c r="E22" s="41" t="s">
        <v>39</v>
      </c>
      <c r="F22" s="41" t="s">
        <v>912</v>
      </c>
      <c r="G22" s="18">
        <v>2022</v>
      </c>
      <c r="H22" s="65">
        <v>2025</v>
      </c>
      <c r="I22" s="18" t="s">
        <v>150</v>
      </c>
      <c r="J22" s="30">
        <v>4672898</v>
      </c>
      <c r="K22" s="30">
        <v>3162420</v>
      </c>
      <c r="L22" s="14" t="s">
        <v>900</v>
      </c>
      <c r="M22" s="3" t="s">
        <v>913</v>
      </c>
    </row>
    <row r="23" spans="1:13" ht="60" x14ac:dyDescent="0.25">
      <c r="A23" s="19" t="s">
        <v>914</v>
      </c>
      <c r="C23" s="41">
        <v>4</v>
      </c>
      <c r="D23" s="41" t="s">
        <v>841</v>
      </c>
      <c r="E23" s="41" t="s">
        <v>39</v>
      </c>
      <c r="F23" s="41" t="s">
        <v>915</v>
      </c>
      <c r="G23" s="18">
        <v>2022</v>
      </c>
      <c r="H23" s="65">
        <v>2024</v>
      </c>
      <c r="I23" s="18" t="s">
        <v>150</v>
      </c>
      <c r="J23" s="30">
        <v>2680456</v>
      </c>
      <c r="K23" s="30">
        <v>1967981.47</v>
      </c>
      <c r="L23" s="14" t="s">
        <v>900</v>
      </c>
      <c r="M23" s="3" t="s">
        <v>916</v>
      </c>
    </row>
    <row r="24" spans="1:13" ht="60" x14ac:dyDescent="0.25">
      <c r="A24" s="19" t="s">
        <v>917</v>
      </c>
      <c r="C24" s="41">
        <v>7</v>
      </c>
      <c r="D24" s="41" t="s">
        <v>841</v>
      </c>
      <c r="E24" s="41" t="s">
        <v>39</v>
      </c>
      <c r="F24" s="41" t="s">
        <v>918</v>
      </c>
      <c r="G24" s="18">
        <v>2022</v>
      </c>
      <c r="H24" s="65">
        <v>2024</v>
      </c>
      <c r="I24" s="18" t="s">
        <v>150</v>
      </c>
      <c r="J24" s="30">
        <v>7272830</v>
      </c>
      <c r="K24" s="30">
        <v>4657185.8899999997</v>
      </c>
      <c r="L24" s="14" t="s">
        <v>900</v>
      </c>
      <c r="M24" s="3" t="s">
        <v>919</v>
      </c>
    </row>
    <row r="25" spans="1:13" ht="60" x14ac:dyDescent="0.25">
      <c r="A25" s="19" t="s">
        <v>920</v>
      </c>
      <c r="C25" s="41">
        <v>7</v>
      </c>
      <c r="D25" s="41" t="s">
        <v>841</v>
      </c>
      <c r="E25" s="41" t="s">
        <v>39</v>
      </c>
      <c r="F25" s="41" t="s">
        <v>921</v>
      </c>
      <c r="G25" s="18">
        <v>2022</v>
      </c>
      <c r="H25" s="65">
        <v>2025</v>
      </c>
      <c r="I25" s="18" t="s">
        <v>150</v>
      </c>
      <c r="J25" s="30">
        <v>5872941</v>
      </c>
      <c r="K25" s="30">
        <v>3787822</v>
      </c>
      <c r="L25" s="14" t="s">
        <v>900</v>
      </c>
      <c r="M25" s="3" t="s">
        <v>922</v>
      </c>
    </row>
    <row r="26" spans="1:13" ht="60" x14ac:dyDescent="0.25">
      <c r="A26" s="19" t="s">
        <v>923</v>
      </c>
      <c r="C26" s="41">
        <v>7</v>
      </c>
      <c r="D26" s="41" t="s">
        <v>841</v>
      </c>
      <c r="E26" s="41" t="s">
        <v>39</v>
      </c>
      <c r="F26" s="41" t="s">
        <v>924</v>
      </c>
      <c r="G26" s="18">
        <v>2022</v>
      </c>
      <c r="H26" s="65">
        <v>2024</v>
      </c>
      <c r="I26" s="18" t="s">
        <v>150</v>
      </c>
      <c r="J26" s="30">
        <v>2539143</v>
      </c>
      <c r="K26" s="30">
        <v>1815843</v>
      </c>
      <c r="L26" s="14" t="s">
        <v>900</v>
      </c>
      <c r="M26" s="3" t="s">
        <v>925</v>
      </c>
    </row>
    <row r="27" spans="1:13" ht="60" x14ac:dyDescent="0.25">
      <c r="A27" s="19" t="s">
        <v>926</v>
      </c>
      <c r="C27" s="41">
        <v>7</v>
      </c>
      <c r="D27" s="41" t="s">
        <v>841</v>
      </c>
      <c r="E27" s="41" t="s">
        <v>39</v>
      </c>
      <c r="F27" s="41" t="s">
        <v>927</v>
      </c>
      <c r="G27" s="18">
        <v>2022</v>
      </c>
      <c r="H27" s="65">
        <v>2025</v>
      </c>
      <c r="I27" s="18" t="s">
        <v>150</v>
      </c>
      <c r="J27" s="30">
        <v>7111544</v>
      </c>
      <c r="K27" s="30">
        <v>6044812</v>
      </c>
      <c r="L27" s="14" t="s">
        <v>928</v>
      </c>
      <c r="M27" s="3" t="s">
        <v>929</v>
      </c>
    </row>
    <row r="28" spans="1:13" ht="60" x14ac:dyDescent="0.25">
      <c r="A28" s="19" t="s">
        <v>930</v>
      </c>
      <c r="C28" s="41">
        <v>1</v>
      </c>
      <c r="D28" s="41" t="s">
        <v>841</v>
      </c>
      <c r="E28" s="41" t="s">
        <v>931</v>
      </c>
      <c r="F28" s="41" t="s">
        <v>932</v>
      </c>
      <c r="G28" s="18">
        <v>2022</v>
      </c>
      <c r="H28" s="65">
        <v>2024</v>
      </c>
      <c r="I28" s="18" t="s">
        <v>150</v>
      </c>
      <c r="J28" s="30">
        <v>1057642</v>
      </c>
      <c r="K28" s="30">
        <v>898995</v>
      </c>
      <c r="L28" s="14" t="s">
        <v>928</v>
      </c>
    </row>
    <row r="29" spans="1:13" ht="60" x14ac:dyDescent="0.25">
      <c r="A29" s="19" t="s">
        <v>933</v>
      </c>
      <c r="C29" s="41">
        <v>1</v>
      </c>
      <c r="D29" s="41" t="s">
        <v>841</v>
      </c>
      <c r="E29" s="41" t="s">
        <v>934</v>
      </c>
      <c r="F29" s="41" t="s">
        <v>935</v>
      </c>
      <c r="G29" s="18">
        <v>2022</v>
      </c>
      <c r="H29" s="65">
        <v>2023</v>
      </c>
      <c r="I29" s="18" t="s">
        <v>150</v>
      </c>
      <c r="J29" s="30">
        <v>420026</v>
      </c>
      <c r="K29" s="30">
        <v>168973</v>
      </c>
      <c r="L29" s="14" t="s">
        <v>928</v>
      </c>
    </row>
    <row r="30" spans="1:13" ht="60" x14ac:dyDescent="0.25">
      <c r="A30" s="19" t="s">
        <v>936</v>
      </c>
      <c r="C30" s="41">
        <v>1</v>
      </c>
      <c r="D30" s="41" t="s">
        <v>841</v>
      </c>
      <c r="E30" s="41" t="s">
        <v>937</v>
      </c>
      <c r="F30" s="41" t="s">
        <v>938</v>
      </c>
      <c r="G30" s="18">
        <v>2022</v>
      </c>
      <c r="H30" s="65">
        <v>2023</v>
      </c>
      <c r="I30" s="18" t="s">
        <v>150</v>
      </c>
      <c r="J30" s="30">
        <v>411680</v>
      </c>
      <c r="K30" s="30">
        <v>336342.56</v>
      </c>
      <c r="L30" s="14" t="s">
        <v>928</v>
      </c>
    </row>
    <row r="31" spans="1:13" ht="60" x14ac:dyDescent="0.25">
      <c r="A31" s="19" t="s">
        <v>939</v>
      </c>
      <c r="C31" s="41">
        <v>1</v>
      </c>
      <c r="D31" s="41" t="s">
        <v>841</v>
      </c>
      <c r="E31" s="41" t="s">
        <v>39</v>
      </c>
      <c r="F31" s="41" t="s">
        <v>940</v>
      </c>
      <c r="G31" s="18">
        <v>2022</v>
      </c>
      <c r="H31" s="65">
        <v>2024</v>
      </c>
      <c r="I31" s="18" t="s">
        <v>150</v>
      </c>
      <c r="J31" s="30">
        <v>1043474</v>
      </c>
      <c r="K31" s="30">
        <v>720205</v>
      </c>
      <c r="L31" s="14" t="s">
        <v>928</v>
      </c>
    </row>
    <row r="32" spans="1:13" ht="30" x14ac:dyDescent="0.25">
      <c r="A32" s="19" t="s">
        <v>941</v>
      </c>
      <c r="C32" s="41">
        <v>8</v>
      </c>
      <c r="D32" s="18" t="s">
        <v>855</v>
      </c>
      <c r="E32" s="41" t="s">
        <v>39</v>
      </c>
      <c r="F32" s="41" t="s">
        <v>942</v>
      </c>
      <c r="G32" s="18">
        <v>2022</v>
      </c>
      <c r="H32" s="65">
        <v>2024</v>
      </c>
      <c r="I32" s="18" t="s">
        <v>150</v>
      </c>
      <c r="J32" s="30">
        <v>115000</v>
      </c>
      <c r="K32" s="30">
        <v>115000</v>
      </c>
      <c r="L32" s="14" t="s">
        <v>943</v>
      </c>
    </row>
    <row r="33" spans="1:12" ht="30" x14ac:dyDescent="0.25">
      <c r="A33" s="19" t="s">
        <v>944</v>
      </c>
      <c r="C33" s="41">
        <v>8</v>
      </c>
      <c r="D33" s="18" t="s">
        <v>855</v>
      </c>
      <c r="E33" s="41" t="s">
        <v>39</v>
      </c>
      <c r="F33" s="41" t="s">
        <v>945</v>
      </c>
      <c r="G33" s="18">
        <v>2022</v>
      </c>
      <c r="H33" s="65">
        <v>2024</v>
      </c>
      <c r="I33" s="18" t="s">
        <v>150</v>
      </c>
      <c r="J33" s="30">
        <v>132250</v>
      </c>
      <c r="K33" s="30">
        <v>132250</v>
      </c>
      <c r="L33" s="14" t="s">
        <v>943</v>
      </c>
    </row>
    <row r="34" spans="1:12" ht="45" x14ac:dyDescent="0.25">
      <c r="A34" s="19" t="s">
        <v>946</v>
      </c>
      <c r="C34" s="41">
        <v>7</v>
      </c>
      <c r="D34" s="18" t="s">
        <v>855</v>
      </c>
      <c r="E34" s="41" t="s">
        <v>39</v>
      </c>
      <c r="F34" s="41" t="s">
        <v>947</v>
      </c>
      <c r="G34" s="18">
        <v>2022</v>
      </c>
      <c r="H34" s="65">
        <v>2025</v>
      </c>
      <c r="I34" s="18" t="s">
        <v>150</v>
      </c>
      <c r="J34" s="30">
        <v>905940.9</v>
      </c>
      <c r="K34" s="30">
        <v>905940.9</v>
      </c>
      <c r="L34" s="14" t="s">
        <v>943</v>
      </c>
    </row>
    <row r="35" spans="1:12" ht="60" x14ac:dyDescent="0.25">
      <c r="A35" s="33" t="s">
        <v>948</v>
      </c>
      <c r="C35" s="41">
        <v>11</v>
      </c>
      <c r="D35" s="18" t="s">
        <v>855</v>
      </c>
      <c r="E35" s="41" t="s">
        <v>39</v>
      </c>
      <c r="F35" s="41" t="s">
        <v>949</v>
      </c>
      <c r="G35" s="18">
        <v>2022</v>
      </c>
      <c r="H35" s="65">
        <v>2025</v>
      </c>
      <c r="I35" s="18" t="s">
        <v>150</v>
      </c>
      <c r="J35" s="30">
        <v>760819.19999999995</v>
      </c>
      <c r="K35" s="30">
        <v>760819.19999999995</v>
      </c>
      <c r="L35" s="14" t="s">
        <v>943</v>
      </c>
    </row>
    <row r="36" spans="1:12" ht="45" x14ac:dyDescent="0.25">
      <c r="A36" s="19" t="s">
        <v>950</v>
      </c>
      <c r="C36" s="41">
        <v>1</v>
      </c>
      <c r="D36" s="18" t="s">
        <v>855</v>
      </c>
      <c r="E36" s="41" t="s">
        <v>951</v>
      </c>
      <c r="F36" s="41" t="s">
        <v>952</v>
      </c>
      <c r="G36" s="18">
        <v>2021</v>
      </c>
      <c r="H36" s="65">
        <v>2024</v>
      </c>
      <c r="I36" s="18" t="s">
        <v>150</v>
      </c>
      <c r="J36" s="30">
        <v>181500</v>
      </c>
      <c r="K36" s="30">
        <v>181500</v>
      </c>
      <c r="L36" s="14" t="s">
        <v>943</v>
      </c>
    </row>
    <row r="37" spans="1:12" ht="60" x14ac:dyDescent="0.25">
      <c r="A37" s="19" t="s">
        <v>953</v>
      </c>
      <c r="B37" s="46"/>
      <c r="C37" s="41">
        <v>4</v>
      </c>
      <c r="D37" s="18" t="s">
        <v>855</v>
      </c>
      <c r="E37" s="41" t="s">
        <v>954</v>
      </c>
      <c r="F37" s="41" t="s">
        <v>949</v>
      </c>
      <c r="G37" s="18">
        <v>2021</v>
      </c>
      <c r="H37" s="65">
        <v>2024</v>
      </c>
      <c r="I37" s="18" t="s">
        <v>150</v>
      </c>
      <c r="J37" s="30">
        <v>217800</v>
      </c>
      <c r="K37" s="30">
        <v>217800</v>
      </c>
      <c r="L37" s="19" t="s">
        <v>943</v>
      </c>
    </row>
    <row r="38" spans="1:12" ht="60" x14ac:dyDescent="0.25">
      <c r="A38" s="19" t="s">
        <v>955</v>
      </c>
      <c r="B38" s="46"/>
      <c r="C38" s="41">
        <v>4</v>
      </c>
      <c r="D38" s="18" t="s">
        <v>855</v>
      </c>
      <c r="E38" s="41" t="s">
        <v>956</v>
      </c>
      <c r="F38" s="41" t="s">
        <v>957</v>
      </c>
      <c r="G38" s="18">
        <v>2021</v>
      </c>
      <c r="H38" s="65">
        <v>2024</v>
      </c>
      <c r="I38" s="18" t="s">
        <v>150</v>
      </c>
      <c r="J38" s="30">
        <v>248050</v>
      </c>
      <c r="K38" s="30">
        <v>248050</v>
      </c>
      <c r="L38" s="19" t="s">
        <v>943</v>
      </c>
    </row>
    <row r="39" spans="1:12" ht="30" x14ac:dyDescent="0.25">
      <c r="A39" s="19" t="s">
        <v>958</v>
      </c>
      <c r="B39" s="46"/>
      <c r="C39" s="41">
        <v>8</v>
      </c>
      <c r="D39" s="18" t="s">
        <v>855</v>
      </c>
      <c r="E39" s="41" t="s">
        <v>959</v>
      </c>
      <c r="F39" s="41" t="s">
        <v>942</v>
      </c>
      <c r="G39" s="18">
        <v>2021</v>
      </c>
      <c r="H39" s="65">
        <v>2024</v>
      </c>
      <c r="I39" s="18" t="s">
        <v>150</v>
      </c>
      <c r="J39" s="30">
        <v>186340</v>
      </c>
      <c r="K39" s="30">
        <v>186340</v>
      </c>
      <c r="L39" s="19" t="s">
        <v>943</v>
      </c>
    </row>
    <row r="40" spans="1:12" ht="30" x14ac:dyDescent="0.25">
      <c r="A40" s="19" t="s">
        <v>960</v>
      </c>
      <c r="B40" s="46"/>
      <c r="C40" s="41">
        <v>4</v>
      </c>
      <c r="D40" s="18" t="s">
        <v>855</v>
      </c>
      <c r="E40" s="41" t="s">
        <v>954</v>
      </c>
      <c r="F40" s="41" t="s">
        <v>945</v>
      </c>
      <c r="G40" s="18">
        <v>2021</v>
      </c>
      <c r="H40" s="65">
        <v>2023</v>
      </c>
      <c r="I40" s="18" t="s">
        <v>150</v>
      </c>
      <c r="J40" s="30">
        <v>195500</v>
      </c>
      <c r="K40" s="30">
        <v>195500</v>
      </c>
      <c r="L40" s="19" t="s">
        <v>943</v>
      </c>
    </row>
    <row r="41" spans="1:12" ht="60" x14ac:dyDescent="0.25">
      <c r="A41" s="19" t="s">
        <v>961</v>
      </c>
      <c r="B41" s="46"/>
      <c r="C41" s="41">
        <v>4</v>
      </c>
      <c r="D41" s="18" t="s">
        <v>855</v>
      </c>
      <c r="E41" s="41" t="s">
        <v>956</v>
      </c>
      <c r="F41" s="41" t="s">
        <v>957</v>
      </c>
      <c r="G41" s="18">
        <v>2021</v>
      </c>
      <c r="H41" s="65">
        <v>2023</v>
      </c>
      <c r="I41" s="18" t="s">
        <v>150</v>
      </c>
      <c r="J41" s="30">
        <v>207000</v>
      </c>
      <c r="K41" s="30">
        <v>207000</v>
      </c>
      <c r="L41" s="19" t="s">
        <v>943</v>
      </c>
    </row>
    <row r="42" spans="1:12" ht="75" x14ac:dyDescent="0.25">
      <c r="A42" s="19" t="s">
        <v>962</v>
      </c>
      <c r="B42" s="46"/>
      <c r="C42" s="41">
        <v>4</v>
      </c>
      <c r="D42" s="18" t="s">
        <v>855</v>
      </c>
      <c r="E42" s="41" t="s">
        <v>954</v>
      </c>
      <c r="F42" s="41" t="s">
        <v>963</v>
      </c>
      <c r="G42" s="18">
        <v>2021</v>
      </c>
      <c r="H42" s="65">
        <v>2023</v>
      </c>
      <c r="I42" s="18" t="s">
        <v>150</v>
      </c>
      <c r="J42" s="30">
        <v>126500</v>
      </c>
      <c r="K42" s="30">
        <v>126500</v>
      </c>
      <c r="L42" s="19" t="s">
        <v>943</v>
      </c>
    </row>
    <row r="43" spans="1:12" ht="30" x14ac:dyDescent="0.25">
      <c r="A43" s="19" t="s">
        <v>964</v>
      </c>
      <c r="B43" s="46"/>
      <c r="C43" s="41">
        <v>4</v>
      </c>
      <c r="D43" s="18" t="s">
        <v>855</v>
      </c>
      <c r="E43" s="41" t="s">
        <v>965</v>
      </c>
      <c r="F43" s="41" t="s">
        <v>966</v>
      </c>
      <c r="G43" s="18">
        <v>2021</v>
      </c>
      <c r="H43" s="65">
        <v>2023</v>
      </c>
      <c r="I43" s="18" t="s">
        <v>150</v>
      </c>
      <c r="J43" s="30">
        <v>322000</v>
      </c>
      <c r="K43" s="30">
        <v>322000</v>
      </c>
      <c r="L43" s="19" t="s">
        <v>943</v>
      </c>
    </row>
    <row r="44" spans="1:12" ht="60" x14ac:dyDescent="0.25">
      <c r="A44" s="19" t="s">
        <v>967</v>
      </c>
      <c r="B44" s="46"/>
      <c r="C44" s="41">
        <v>1</v>
      </c>
      <c r="D44" s="18" t="s">
        <v>855</v>
      </c>
      <c r="E44" s="41" t="s">
        <v>954</v>
      </c>
      <c r="F44" s="41" t="s">
        <v>949</v>
      </c>
      <c r="G44" s="18">
        <v>2021</v>
      </c>
      <c r="H44" s="65">
        <v>2023</v>
      </c>
      <c r="I44" s="18" t="s">
        <v>150</v>
      </c>
      <c r="J44" s="30">
        <v>149500</v>
      </c>
      <c r="K44" s="30">
        <v>149500</v>
      </c>
      <c r="L44" s="19" t="s">
        <v>943</v>
      </c>
    </row>
    <row r="45" spans="1:12" ht="60" x14ac:dyDescent="0.25">
      <c r="A45" s="19" t="s">
        <v>968</v>
      </c>
      <c r="B45" s="46"/>
      <c r="C45" s="41">
        <v>8</v>
      </c>
      <c r="D45" s="18" t="s">
        <v>855</v>
      </c>
      <c r="E45" s="41" t="s">
        <v>969</v>
      </c>
      <c r="F45" s="41" t="s">
        <v>949</v>
      </c>
      <c r="G45" s="18">
        <v>2021</v>
      </c>
      <c r="H45" s="65">
        <v>2023</v>
      </c>
      <c r="I45" s="18" t="s">
        <v>150</v>
      </c>
      <c r="J45" s="30">
        <v>161000</v>
      </c>
      <c r="K45" s="30">
        <v>161000</v>
      </c>
      <c r="L45" s="19" t="s">
        <v>943</v>
      </c>
    </row>
    <row r="46" spans="1:12" ht="30" x14ac:dyDescent="0.25">
      <c r="A46" s="19" t="s">
        <v>970</v>
      </c>
      <c r="B46" s="46"/>
      <c r="C46" s="41">
        <v>1</v>
      </c>
      <c r="D46" s="18" t="s">
        <v>855</v>
      </c>
      <c r="E46" s="41" t="s">
        <v>971</v>
      </c>
      <c r="F46" s="41" t="s">
        <v>972</v>
      </c>
      <c r="G46" s="18">
        <v>2021</v>
      </c>
      <c r="H46" s="65">
        <v>2023</v>
      </c>
      <c r="I46" s="18" t="s">
        <v>150</v>
      </c>
      <c r="J46" s="30">
        <v>253000</v>
      </c>
      <c r="K46" s="30">
        <v>253000</v>
      </c>
      <c r="L46" s="19" t="s">
        <v>943</v>
      </c>
    </row>
    <row r="47" spans="1:12" ht="60" x14ac:dyDescent="0.25">
      <c r="A47" s="19" t="s">
        <v>973</v>
      </c>
      <c r="B47" s="46"/>
      <c r="C47" s="41">
        <v>4</v>
      </c>
      <c r="D47" s="18" t="s">
        <v>855</v>
      </c>
      <c r="E47" s="41" t="s">
        <v>956</v>
      </c>
      <c r="F47" s="41" t="s">
        <v>957</v>
      </c>
      <c r="G47" s="18">
        <v>2021</v>
      </c>
      <c r="H47" s="65">
        <v>2023</v>
      </c>
      <c r="I47" s="18" t="s">
        <v>150</v>
      </c>
      <c r="J47" s="30">
        <v>189750</v>
      </c>
      <c r="K47" s="30">
        <v>189750</v>
      </c>
      <c r="L47" s="19" t="s">
        <v>943</v>
      </c>
    </row>
    <row r="48" spans="1:12" ht="60" x14ac:dyDescent="0.25">
      <c r="A48" s="162" t="s">
        <v>974</v>
      </c>
      <c r="B48" s="167"/>
      <c r="C48" s="168">
        <v>8</v>
      </c>
      <c r="D48" s="168" t="s">
        <v>841</v>
      </c>
      <c r="E48" s="168" t="s">
        <v>975</v>
      </c>
      <c r="F48" s="168" t="s">
        <v>976</v>
      </c>
      <c r="G48" s="45">
        <v>2020</v>
      </c>
      <c r="H48" s="169">
        <v>2021</v>
      </c>
      <c r="I48" s="45" t="s">
        <v>99</v>
      </c>
      <c r="J48" s="165">
        <v>247500</v>
      </c>
      <c r="K48" s="165">
        <v>202417</v>
      </c>
      <c r="L48" s="163" t="s">
        <v>977</v>
      </c>
    </row>
    <row r="49" spans="1:13" ht="60" x14ac:dyDescent="0.25">
      <c r="A49" s="162" t="s">
        <v>978</v>
      </c>
      <c r="B49" s="167"/>
      <c r="C49" s="45">
        <v>4</v>
      </c>
      <c r="D49" s="168" t="s">
        <v>841</v>
      </c>
      <c r="E49" s="168" t="s">
        <v>979</v>
      </c>
      <c r="F49" s="45" t="s">
        <v>980</v>
      </c>
      <c r="G49" s="45">
        <v>2020</v>
      </c>
      <c r="H49" s="169">
        <v>2021</v>
      </c>
      <c r="I49" s="45" t="s">
        <v>99</v>
      </c>
      <c r="J49" s="165">
        <v>754847</v>
      </c>
      <c r="K49" s="165">
        <v>641618</v>
      </c>
      <c r="L49" s="163" t="s">
        <v>977</v>
      </c>
    </row>
    <row r="50" spans="1:13" ht="60" x14ac:dyDescent="0.25">
      <c r="A50" s="163" t="s">
        <v>981</v>
      </c>
      <c r="B50" s="167"/>
      <c r="C50" s="168">
        <v>4</v>
      </c>
      <c r="D50" s="168" t="s">
        <v>841</v>
      </c>
      <c r="E50" s="168" t="s">
        <v>979</v>
      </c>
      <c r="F50" s="168" t="s">
        <v>982</v>
      </c>
      <c r="G50" s="45">
        <v>2021</v>
      </c>
      <c r="H50" s="169">
        <v>2022</v>
      </c>
      <c r="I50" s="45" t="s">
        <v>99</v>
      </c>
      <c r="J50" s="165">
        <v>698200</v>
      </c>
      <c r="K50" s="165">
        <v>593500</v>
      </c>
      <c r="L50" s="163" t="s">
        <v>977</v>
      </c>
    </row>
    <row r="51" spans="1:13" ht="60" x14ac:dyDescent="0.25">
      <c r="A51" s="19" t="s">
        <v>983</v>
      </c>
      <c r="C51" s="41">
        <v>8</v>
      </c>
      <c r="D51" s="41" t="s">
        <v>841</v>
      </c>
      <c r="E51" s="41" t="s">
        <v>969</v>
      </c>
      <c r="F51" s="41" t="s">
        <v>984</v>
      </c>
      <c r="G51" s="18">
        <v>2021</v>
      </c>
      <c r="H51" s="65">
        <v>2022</v>
      </c>
      <c r="I51" s="18" t="s">
        <v>150</v>
      </c>
      <c r="J51" s="30">
        <v>228557</v>
      </c>
      <c r="K51" s="30">
        <v>137134</v>
      </c>
      <c r="L51" s="19" t="s">
        <v>977</v>
      </c>
      <c r="M51" t="s">
        <v>985</v>
      </c>
    </row>
    <row r="52" spans="1:13" ht="60" x14ac:dyDescent="0.25">
      <c r="A52" s="19" t="s">
        <v>986</v>
      </c>
      <c r="C52" s="41">
        <v>7</v>
      </c>
      <c r="D52" s="41" t="s">
        <v>841</v>
      </c>
      <c r="E52" s="41" t="s">
        <v>39</v>
      </c>
      <c r="F52" s="41" t="s">
        <v>987</v>
      </c>
      <c r="G52" s="18">
        <v>2021</v>
      </c>
      <c r="H52" s="65">
        <v>2023</v>
      </c>
      <c r="I52" s="18" t="s">
        <v>150</v>
      </c>
      <c r="J52" s="30">
        <v>2496241</v>
      </c>
      <c r="K52" s="30">
        <v>1677816</v>
      </c>
      <c r="L52" s="19" t="s">
        <v>900</v>
      </c>
      <c r="M52" s="3" t="s">
        <v>988</v>
      </c>
    </row>
    <row r="53" spans="1:13" ht="75" x14ac:dyDescent="0.25">
      <c r="A53" s="19" t="s">
        <v>989</v>
      </c>
      <c r="C53" s="41">
        <v>11</v>
      </c>
      <c r="D53" s="41" t="s">
        <v>841</v>
      </c>
      <c r="E53" s="41" t="s">
        <v>39</v>
      </c>
      <c r="F53" s="41" t="s">
        <v>990</v>
      </c>
      <c r="G53" s="18">
        <v>2021</v>
      </c>
      <c r="H53" s="65">
        <v>2024</v>
      </c>
      <c r="I53" s="18" t="s">
        <v>150</v>
      </c>
      <c r="J53" s="30">
        <v>6602498</v>
      </c>
      <c r="K53" s="30">
        <v>4442537</v>
      </c>
      <c r="L53" s="19" t="s">
        <v>900</v>
      </c>
      <c r="M53" s="3" t="s">
        <v>991</v>
      </c>
    </row>
    <row r="54" spans="1:13" ht="60" x14ac:dyDescent="0.25">
      <c r="A54" s="19" t="s">
        <v>992</v>
      </c>
      <c r="C54" s="41">
        <v>11</v>
      </c>
      <c r="D54" s="41" t="s">
        <v>841</v>
      </c>
      <c r="E54" s="41" t="s">
        <v>39</v>
      </c>
      <c r="F54" s="41" t="s">
        <v>990</v>
      </c>
      <c r="G54" s="18">
        <v>2021</v>
      </c>
      <c r="H54" s="65">
        <v>2024</v>
      </c>
      <c r="I54" s="18" t="s">
        <v>150</v>
      </c>
      <c r="J54" s="30">
        <v>7108581</v>
      </c>
      <c r="K54" s="30">
        <v>4226161</v>
      </c>
      <c r="L54" s="19" t="s">
        <v>900</v>
      </c>
      <c r="M54" s="3" t="s">
        <v>993</v>
      </c>
    </row>
    <row r="55" spans="1:13" ht="60" x14ac:dyDescent="0.25">
      <c r="A55" s="19" t="s">
        <v>994</v>
      </c>
      <c r="C55" s="41">
        <v>7</v>
      </c>
      <c r="D55" s="41" t="s">
        <v>841</v>
      </c>
      <c r="E55" s="41" t="s">
        <v>39</v>
      </c>
      <c r="F55" s="41" t="s">
        <v>995</v>
      </c>
      <c r="G55" s="18">
        <v>2021</v>
      </c>
      <c r="H55" s="65">
        <v>2024</v>
      </c>
      <c r="I55" s="18" t="s">
        <v>150</v>
      </c>
      <c r="J55" s="30">
        <v>5676834</v>
      </c>
      <c r="K55" s="30">
        <v>3827333</v>
      </c>
      <c r="L55" s="19" t="s">
        <v>900</v>
      </c>
      <c r="M55" s="3" t="s">
        <v>996</v>
      </c>
    </row>
    <row r="56" spans="1:13" x14ac:dyDescent="0.25">
      <c r="A56" s="5"/>
      <c r="B56" s="17"/>
      <c r="C56" s="55"/>
      <c r="D56" s="14"/>
      <c r="E56" s="5"/>
      <c r="F56" s="14"/>
      <c r="G56" s="55"/>
      <c r="H56" s="56"/>
      <c r="I56" s="55"/>
      <c r="J56" s="57"/>
      <c r="K56" s="57"/>
      <c r="L56" s="19"/>
    </row>
    <row r="57" spans="1:13" x14ac:dyDescent="0.25">
      <c r="G57" s="46"/>
      <c r="H57" s="47"/>
      <c r="I57" s="46"/>
      <c r="J57" s="58"/>
      <c r="K57" s="58"/>
    </row>
    <row r="58" spans="1:13" x14ac:dyDescent="0.25">
      <c r="C58" s="18"/>
      <c r="G58" s="46"/>
      <c r="H58" s="47"/>
      <c r="I58" s="46"/>
      <c r="J58" s="58">
        <f>SUM(J3:J55)</f>
        <v>83193143.099999994</v>
      </c>
      <c r="K58" s="97">
        <f>(J58-L58)</f>
        <v>59069360.099999994</v>
      </c>
      <c r="L58" s="97">
        <v>24123783</v>
      </c>
    </row>
    <row r="59" spans="1:13" x14ac:dyDescent="0.25">
      <c r="C59" s="18"/>
      <c r="F59" s="3"/>
      <c r="G59" s="46"/>
      <c r="H59" s="47"/>
      <c r="I59" s="46"/>
      <c r="J59" s="46"/>
      <c r="K59" s="91" t="s">
        <v>247</v>
      </c>
      <c r="L59" s="91" t="s">
        <v>211</v>
      </c>
    </row>
    <row r="60" spans="1:13" x14ac:dyDescent="0.25">
      <c r="C60" s="18"/>
      <c r="F60" s="3"/>
      <c r="H60" s="4"/>
    </row>
    <row r="61" spans="1:13" x14ac:dyDescent="0.25">
      <c r="C61" s="18"/>
      <c r="F61" s="3"/>
      <c r="H61" s="4"/>
    </row>
    <row r="62" spans="1:13" x14ac:dyDescent="0.25">
      <c r="C62" s="18"/>
      <c r="F62" s="3"/>
      <c r="H62" s="4"/>
    </row>
    <row r="63" spans="1:13" x14ac:dyDescent="0.25">
      <c r="C63" s="18"/>
      <c r="F63" s="3"/>
      <c r="H63" s="4"/>
    </row>
    <row r="64" spans="1:13" x14ac:dyDescent="0.25">
      <c r="C64" s="18"/>
      <c r="F64" s="3"/>
      <c r="H64" s="4"/>
    </row>
    <row r="65" spans="3:3" x14ac:dyDescent="0.25">
      <c r="C65" s="18"/>
    </row>
    <row r="66" spans="3:3" x14ac:dyDescent="0.25">
      <c r="C66" s="18"/>
    </row>
    <row r="67" spans="3:3" x14ac:dyDescent="0.25">
      <c r="C67" s="18"/>
    </row>
    <row r="68" spans="3:3" x14ac:dyDescent="0.25">
      <c r="C68" s="18"/>
    </row>
    <row r="69" spans="3:3" x14ac:dyDescent="0.25">
      <c r="C69" s="18"/>
    </row>
    <row r="70" spans="3:3" x14ac:dyDescent="0.25">
      <c r="C70" s="18"/>
    </row>
  </sheetData>
  <mergeCells count="1">
    <mergeCell ref="A19:L19"/>
  </mergeCells>
  <dataValidations count="1">
    <dataValidation type="list" allowBlank="1" showInputMessage="1" showErrorMessage="1" sqref="I3:I18 I20:I32 I56:I64" xr:uid="{B6C9F7C4-2D43-450C-8744-F83BFAAB8A12}">
      <formula1>"TRL 1-3, TRL 4-5, TRL 6-7, TRL 8-9"</formula1>
    </dataValidation>
  </dataValidations>
  <pageMargins left="0.7" right="0.7" top="0.75" bottom="0.75" header="0.3" footer="0.3"/>
  <pageSetup paperSize="9" scale="4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FB7F-F615-4EEA-AFDD-F6495D554E7A}">
  <sheetPr>
    <pageSetUpPr fitToPage="1"/>
  </sheetPr>
  <dimension ref="A1:AA135"/>
  <sheetViews>
    <sheetView zoomScale="90" zoomScaleNormal="90" workbookViewId="0">
      <pane ySplit="2" topLeftCell="A3" activePane="bottomLeft" state="frozen"/>
      <selection pane="bottomLeft"/>
    </sheetView>
  </sheetViews>
  <sheetFormatPr defaultColWidth="9.140625" defaultRowHeight="15" x14ac:dyDescent="0.25"/>
  <cols>
    <col min="1" max="1" width="41.42578125" customWidth="1"/>
    <col min="2" max="2" width="14.42578125" customWidth="1"/>
    <col min="3" max="3" width="7.7109375" style="46" customWidth="1"/>
    <col min="4" max="4" width="22.140625" customWidth="1"/>
    <col min="5" max="5" width="17.85546875" customWidth="1"/>
    <col min="6" max="6" width="18.85546875" style="3" customWidth="1"/>
    <col min="7" max="7" width="14.7109375" customWidth="1"/>
    <col min="8" max="8" width="11.85546875" customWidth="1"/>
    <col min="9" max="9" width="7.42578125" bestFit="1" customWidth="1"/>
    <col min="10" max="10" width="21.140625" hidden="1" customWidth="1"/>
    <col min="11" max="11" width="21.42578125" hidden="1" customWidth="1"/>
    <col min="12" max="12" width="21.42578125" customWidth="1"/>
    <col min="13" max="13" width="18.140625" customWidth="1"/>
    <col min="14" max="14" width="32.42578125" bestFit="1" customWidth="1"/>
    <col min="15" max="15" width="17.85546875" customWidth="1"/>
    <col min="19" max="19" width="10.140625" bestFit="1" customWidth="1"/>
  </cols>
  <sheetData>
    <row r="1" spans="1:16" ht="34.5" customHeight="1" x14ac:dyDescent="0.35">
      <c r="A1" s="34" t="s">
        <v>76</v>
      </c>
    </row>
    <row r="2" spans="1:16" s="1" customFormat="1" ht="47.25" x14ac:dyDescent="0.25">
      <c r="A2" s="8" t="s">
        <v>1</v>
      </c>
      <c r="B2" s="8" t="s">
        <v>2</v>
      </c>
      <c r="C2" s="27" t="s">
        <v>3</v>
      </c>
      <c r="D2" s="8" t="s">
        <v>4</v>
      </c>
      <c r="E2" s="9" t="s">
        <v>162</v>
      </c>
      <c r="F2" s="8" t="s">
        <v>163</v>
      </c>
      <c r="G2" s="8" t="s">
        <v>6</v>
      </c>
      <c r="H2" s="9" t="s">
        <v>7</v>
      </c>
      <c r="I2" s="9" t="s">
        <v>8</v>
      </c>
      <c r="J2" s="8" t="s">
        <v>997</v>
      </c>
      <c r="K2" s="8" t="s">
        <v>998</v>
      </c>
      <c r="L2" s="8" t="s">
        <v>9</v>
      </c>
      <c r="M2" s="9" t="s">
        <v>164</v>
      </c>
      <c r="N2" s="9" t="s">
        <v>11</v>
      </c>
      <c r="P2" s="88" t="s">
        <v>999</v>
      </c>
    </row>
    <row r="3" spans="1:16" ht="40.5" customHeight="1" x14ac:dyDescent="0.25">
      <c r="A3" s="14" t="s">
        <v>1000</v>
      </c>
      <c r="B3" s="2" t="s">
        <v>47</v>
      </c>
      <c r="C3" s="18" t="s">
        <v>1001</v>
      </c>
      <c r="D3" s="23" t="s">
        <v>1002</v>
      </c>
      <c r="E3" s="23" t="s">
        <v>76</v>
      </c>
      <c r="F3" s="19" t="s">
        <v>1003</v>
      </c>
      <c r="G3" s="18">
        <v>2015</v>
      </c>
      <c r="H3" s="18">
        <v>2018</v>
      </c>
      <c r="I3" s="18" t="s">
        <v>107</v>
      </c>
      <c r="J3" s="18"/>
      <c r="K3" s="18"/>
      <c r="L3" s="149">
        <v>6900000</v>
      </c>
      <c r="M3" s="147">
        <f>6900000*0.54</f>
        <v>3726000.0000000005</v>
      </c>
      <c r="N3" s="23"/>
    </row>
    <row r="4" spans="1:16" ht="58.5" customHeight="1" x14ac:dyDescent="0.25">
      <c r="A4" s="14" t="s">
        <v>1004</v>
      </c>
      <c r="B4" s="2" t="s">
        <v>47</v>
      </c>
      <c r="C4" s="18" t="s">
        <v>1001</v>
      </c>
      <c r="D4" s="23" t="s">
        <v>1002</v>
      </c>
      <c r="E4" s="23" t="s">
        <v>76</v>
      </c>
      <c r="F4" s="19" t="s">
        <v>1005</v>
      </c>
      <c r="G4" s="18">
        <v>2016</v>
      </c>
      <c r="H4" s="18">
        <v>2019</v>
      </c>
      <c r="I4" s="26" t="s">
        <v>150</v>
      </c>
      <c r="J4" s="18"/>
      <c r="K4" s="18"/>
      <c r="L4" s="149">
        <v>946344</v>
      </c>
      <c r="M4" s="147">
        <f>L4*0.21</f>
        <v>198732.24</v>
      </c>
      <c r="N4" s="23"/>
    </row>
    <row r="5" spans="1:16" ht="33.75" customHeight="1" x14ac:dyDescent="0.25">
      <c r="A5" s="14" t="s">
        <v>1006</v>
      </c>
      <c r="B5" s="2" t="s">
        <v>47</v>
      </c>
      <c r="C5" s="18" t="s">
        <v>1007</v>
      </c>
      <c r="D5" s="23" t="s">
        <v>1002</v>
      </c>
      <c r="E5" s="23" t="s">
        <v>76</v>
      </c>
      <c r="F5" s="19" t="s">
        <v>1008</v>
      </c>
      <c r="G5" s="18">
        <v>2020</v>
      </c>
      <c r="H5" s="18">
        <v>2022</v>
      </c>
      <c r="I5" s="26" t="s">
        <v>135</v>
      </c>
      <c r="J5" s="18" t="s">
        <v>1009</v>
      </c>
      <c r="K5" s="18" t="s">
        <v>1010</v>
      </c>
      <c r="L5" s="149">
        <v>1092.567</v>
      </c>
      <c r="M5" s="147">
        <f>1092567*0.25</f>
        <v>273141.75</v>
      </c>
      <c r="N5" s="23"/>
    </row>
    <row r="6" spans="1:16" ht="45" x14ac:dyDescent="0.25">
      <c r="A6" s="14" t="s">
        <v>1011</v>
      </c>
      <c r="B6" s="2" t="s">
        <v>400</v>
      </c>
      <c r="C6" s="18">
        <v>1.8</v>
      </c>
      <c r="D6" s="23" t="s">
        <v>1002</v>
      </c>
      <c r="E6" s="23" t="s">
        <v>76</v>
      </c>
      <c r="F6" s="19" t="s">
        <v>1012</v>
      </c>
      <c r="G6" s="18">
        <v>2017</v>
      </c>
      <c r="H6" s="18">
        <v>2021</v>
      </c>
      <c r="I6" s="26" t="s">
        <v>77</v>
      </c>
      <c r="J6" s="18">
        <v>6.9</v>
      </c>
      <c r="K6" s="18">
        <v>6.6</v>
      </c>
      <c r="L6" s="149">
        <v>6710.4409999999998</v>
      </c>
      <c r="M6" s="147">
        <f>6710441*0.33</f>
        <v>2214445.5300000003</v>
      </c>
      <c r="N6" s="23"/>
    </row>
    <row r="7" spans="1:16" ht="20.25" customHeight="1" x14ac:dyDescent="0.25">
      <c r="A7" s="14" t="s">
        <v>1013</v>
      </c>
      <c r="B7" s="2" t="s">
        <v>1014</v>
      </c>
      <c r="C7" s="18">
        <v>1</v>
      </c>
      <c r="D7" s="23" t="s">
        <v>1002</v>
      </c>
      <c r="E7" s="23" t="s">
        <v>76</v>
      </c>
      <c r="F7" s="19" t="s">
        <v>1015</v>
      </c>
      <c r="G7" s="18">
        <v>2018</v>
      </c>
      <c r="H7" s="18">
        <v>2021</v>
      </c>
      <c r="I7" s="26"/>
      <c r="J7" s="18">
        <v>1.07</v>
      </c>
      <c r="K7" s="18">
        <v>4.03</v>
      </c>
      <c r="L7" s="149">
        <v>800934</v>
      </c>
      <c r="M7" s="147">
        <f>0.85*800934</f>
        <v>680793.9</v>
      </c>
      <c r="N7" s="23"/>
    </row>
    <row r="8" spans="1:16" ht="45" x14ac:dyDescent="0.25">
      <c r="A8" s="14" t="s">
        <v>1016</v>
      </c>
      <c r="B8" s="14"/>
      <c r="C8" s="14">
        <v>1</v>
      </c>
      <c r="D8" s="14" t="s">
        <v>1002</v>
      </c>
      <c r="E8" s="14" t="s">
        <v>76</v>
      </c>
      <c r="F8" s="14" t="s">
        <v>1017</v>
      </c>
      <c r="G8" s="18">
        <v>2022</v>
      </c>
      <c r="H8" s="18">
        <v>2022</v>
      </c>
      <c r="I8" s="14"/>
      <c r="J8" s="14"/>
      <c r="K8" s="14"/>
      <c r="L8" s="150">
        <v>180856</v>
      </c>
      <c r="M8" s="139">
        <v>180856</v>
      </c>
      <c r="N8" s="14"/>
      <c r="O8" s="14" t="s">
        <v>1018</v>
      </c>
      <c r="P8" s="88" t="s">
        <v>1019</v>
      </c>
    </row>
    <row r="9" spans="1:16" ht="30" x14ac:dyDescent="0.25">
      <c r="A9" s="14" t="s">
        <v>1020</v>
      </c>
      <c r="B9" s="14"/>
      <c r="C9" s="14" t="s">
        <v>1021</v>
      </c>
      <c r="D9" s="14" t="s">
        <v>1002</v>
      </c>
      <c r="E9" s="14" t="s">
        <v>76</v>
      </c>
      <c r="F9" s="14" t="s">
        <v>1022</v>
      </c>
      <c r="G9" s="18">
        <v>2022</v>
      </c>
      <c r="H9" s="18">
        <v>2025</v>
      </c>
      <c r="I9" s="14"/>
      <c r="J9" s="14"/>
      <c r="K9" s="14"/>
      <c r="L9" s="150">
        <v>36992966</v>
      </c>
      <c r="M9" s="146">
        <f>36992966*0.19</f>
        <v>7028663.54</v>
      </c>
      <c r="N9" s="14"/>
      <c r="O9" s="14" t="s">
        <v>1023</v>
      </c>
      <c r="P9" s="90" t="s">
        <v>1019</v>
      </c>
    </row>
    <row r="10" spans="1:16" ht="45" x14ac:dyDescent="0.25">
      <c r="A10" s="14" t="s">
        <v>1024</v>
      </c>
      <c r="B10" s="14"/>
      <c r="C10" s="14">
        <v>8</v>
      </c>
      <c r="D10" s="14" t="s">
        <v>1002</v>
      </c>
      <c r="E10" s="14" t="s">
        <v>76</v>
      </c>
      <c r="F10" s="14" t="s">
        <v>1025</v>
      </c>
      <c r="G10" s="18">
        <v>2021</v>
      </c>
      <c r="H10" s="18">
        <v>2022</v>
      </c>
      <c r="I10" s="14"/>
      <c r="J10" s="14"/>
      <c r="K10" s="14"/>
      <c r="L10" s="150">
        <v>683949</v>
      </c>
      <c r="M10" s="146">
        <f>683949*0.5</f>
        <v>341974.5</v>
      </c>
      <c r="N10" s="14"/>
      <c r="O10" s="14" t="s">
        <v>1023</v>
      </c>
      <c r="P10" s="90" t="s">
        <v>1019</v>
      </c>
    </row>
    <row r="11" spans="1:16" x14ac:dyDescent="0.25">
      <c r="A11" s="14" t="s">
        <v>1026</v>
      </c>
      <c r="B11" s="14"/>
      <c r="C11" s="14" t="s">
        <v>534</v>
      </c>
      <c r="D11" s="14" t="s">
        <v>1002</v>
      </c>
      <c r="E11" s="14" t="s">
        <v>76</v>
      </c>
      <c r="F11" s="14" t="s">
        <v>1027</v>
      </c>
      <c r="G11" s="18">
        <v>2021</v>
      </c>
      <c r="H11" s="18">
        <v>2022</v>
      </c>
      <c r="I11" s="14"/>
      <c r="J11" s="14"/>
      <c r="K11" s="14"/>
      <c r="L11" s="150">
        <v>755082</v>
      </c>
      <c r="M11" s="146">
        <f>755082*0.99</f>
        <v>747531.18</v>
      </c>
      <c r="N11" s="14"/>
      <c r="O11" s="14" t="s">
        <v>1018</v>
      </c>
      <c r="P11" s="88" t="s">
        <v>1019</v>
      </c>
    </row>
    <row r="12" spans="1:16" ht="45" x14ac:dyDescent="0.25">
      <c r="A12" s="14" t="s">
        <v>1028</v>
      </c>
      <c r="B12" s="14"/>
      <c r="C12" s="14">
        <v>4.5</v>
      </c>
      <c r="D12" s="14" t="s">
        <v>1002</v>
      </c>
      <c r="E12" s="14" t="s">
        <v>76</v>
      </c>
      <c r="F12" s="14" t="s">
        <v>1029</v>
      </c>
      <c r="G12" s="18">
        <v>2021</v>
      </c>
      <c r="H12" s="18">
        <v>2022</v>
      </c>
      <c r="I12" s="14"/>
      <c r="J12" s="14"/>
      <c r="K12" s="14"/>
      <c r="L12" s="150">
        <v>100480</v>
      </c>
      <c r="M12" s="146">
        <f>100480*0.51</f>
        <v>51244.800000000003</v>
      </c>
      <c r="N12" s="14"/>
      <c r="O12" s="14" t="s">
        <v>1030</v>
      </c>
      <c r="P12" s="88" t="s">
        <v>1019</v>
      </c>
    </row>
    <row r="13" spans="1:16" ht="30" x14ac:dyDescent="0.25">
      <c r="A13" s="14" t="s">
        <v>1031</v>
      </c>
      <c r="B13" s="14"/>
      <c r="C13" s="14">
        <v>4</v>
      </c>
      <c r="D13" s="14" t="s">
        <v>1002</v>
      </c>
      <c r="E13" s="14" t="s">
        <v>76</v>
      </c>
      <c r="F13" s="14" t="s">
        <v>1032</v>
      </c>
      <c r="G13" s="18">
        <v>2021</v>
      </c>
      <c r="H13" s="18">
        <v>2022</v>
      </c>
      <c r="I13" s="14"/>
      <c r="J13" s="14"/>
      <c r="K13" s="14"/>
      <c r="L13" s="150">
        <v>412993</v>
      </c>
      <c r="M13" s="146">
        <f>412993*0.88</f>
        <v>363433.84</v>
      </c>
      <c r="N13" s="14"/>
      <c r="O13" s="14" t="s">
        <v>1018</v>
      </c>
      <c r="P13" s="90" t="s">
        <v>1033</v>
      </c>
    </row>
    <row r="14" spans="1:16" ht="45" x14ac:dyDescent="0.25">
      <c r="A14" s="14" t="s">
        <v>1034</v>
      </c>
      <c r="B14" s="14"/>
      <c r="C14" s="14">
        <v>1</v>
      </c>
      <c r="D14" s="14" t="s">
        <v>1002</v>
      </c>
      <c r="E14" s="14" t="s">
        <v>76</v>
      </c>
      <c r="F14" s="14" t="s">
        <v>1017</v>
      </c>
      <c r="G14" s="18">
        <v>2021</v>
      </c>
      <c r="H14" s="18">
        <v>2022</v>
      </c>
      <c r="I14" s="14"/>
      <c r="J14" s="14"/>
      <c r="K14" s="14"/>
      <c r="L14" s="150">
        <v>261707</v>
      </c>
      <c r="M14" s="139">
        <v>261707</v>
      </c>
      <c r="N14" s="14"/>
      <c r="O14" s="14" t="s">
        <v>1018</v>
      </c>
      <c r="P14" s="88" t="s">
        <v>1035</v>
      </c>
    </row>
    <row r="15" spans="1:16" ht="45" x14ac:dyDescent="0.25">
      <c r="A15" s="14" t="s">
        <v>1036</v>
      </c>
      <c r="B15" s="14"/>
      <c r="C15" s="14">
        <v>1.4</v>
      </c>
      <c r="D15" s="14" t="s">
        <v>1002</v>
      </c>
      <c r="E15" s="14" t="s">
        <v>76</v>
      </c>
      <c r="F15" s="14" t="s">
        <v>1037</v>
      </c>
      <c r="G15" s="18">
        <v>2017</v>
      </c>
      <c r="H15" s="18">
        <v>2020</v>
      </c>
      <c r="I15" s="14"/>
      <c r="J15" s="14"/>
      <c r="K15" s="14"/>
      <c r="L15" s="150">
        <v>487178</v>
      </c>
      <c r="M15" s="146">
        <f>L15*0.89</f>
        <v>433588.42</v>
      </c>
      <c r="N15" s="140"/>
      <c r="O15" s="14" t="s">
        <v>1038</v>
      </c>
      <c r="P15" s="90" t="s">
        <v>1039</v>
      </c>
    </row>
    <row r="16" spans="1:16" ht="45" x14ac:dyDescent="0.25">
      <c r="A16" s="14" t="s">
        <v>1040</v>
      </c>
      <c r="B16" s="14"/>
      <c r="C16" s="14">
        <v>1</v>
      </c>
      <c r="D16" s="14" t="s">
        <v>1002</v>
      </c>
      <c r="E16" s="14" t="s">
        <v>76</v>
      </c>
      <c r="F16" s="14" t="s">
        <v>1041</v>
      </c>
      <c r="G16" s="18">
        <v>2021</v>
      </c>
      <c r="H16" s="18">
        <v>2022</v>
      </c>
      <c r="I16" s="14"/>
      <c r="J16" s="14"/>
      <c r="K16" s="14"/>
      <c r="L16" s="150">
        <v>222972</v>
      </c>
      <c r="M16" s="146">
        <f>L16*0.82</f>
        <v>182837.03999999998</v>
      </c>
      <c r="N16" s="14"/>
      <c r="O16" s="14" t="s">
        <v>1042</v>
      </c>
      <c r="P16" s="88" t="s">
        <v>1019</v>
      </c>
    </row>
    <row r="17" spans="1:16" ht="51" customHeight="1" x14ac:dyDescent="0.25">
      <c r="A17" s="14" t="s">
        <v>1043</v>
      </c>
      <c r="B17" s="14"/>
      <c r="C17" s="14">
        <v>1</v>
      </c>
      <c r="D17" s="14" t="s">
        <v>1002</v>
      </c>
      <c r="E17" s="14" t="s">
        <v>76</v>
      </c>
      <c r="F17" s="14" t="s">
        <v>1037</v>
      </c>
      <c r="G17" s="18">
        <v>2017</v>
      </c>
      <c r="H17" s="18">
        <v>2020</v>
      </c>
      <c r="I17" s="14"/>
      <c r="J17" s="14"/>
      <c r="K17" s="14"/>
      <c r="L17" s="150">
        <v>301884</v>
      </c>
      <c r="M17" s="139">
        <v>301884</v>
      </c>
      <c r="N17" s="14"/>
      <c r="O17" s="14" t="s">
        <v>1044</v>
      </c>
      <c r="P17" s="90" t="s">
        <v>1019</v>
      </c>
    </row>
    <row r="18" spans="1:16" ht="30" x14ac:dyDescent="0.25">
      <c r="A18" s="14" t="s">
        <v>1045</v>
      </c>
      <c r="B18" s="14"/>
      <c r="C18" s="14">
        <v>1</v>
      </c>
      <c r="D18" s="14" t="s">
        <v>1002</v>
      </c>
      <c r="E18" s="14" t="s">
        <v>76</v>
      </c>
      <c r="F18" s="14" t="s">
        <v>1046</v>
      </c>
      <c r="G18" s="18">
        <v>2021</v>
      </c>
      <c r="H18" s="18">
        <v>2023</v>
      </c>
      <c r="I18" s="14"/>
      <c r="J18" s="14"/>
      <c r="K18" s="14"/>
      <c r="L18" s="150">
        <v>860313</v>
      </c>
      <c r="M18" s="146">
        <f>L18*0.35</f>
        <v>301109.55</v>
      </c>
      <c r="N18" s="14"/>
      <c r="O18" s="14" t="s">
        <v>1042</v>
      </c>
      <c r="P18" s="88" t="s">
        <v>1019</v>
      </c>
    </row>
    <row r="19" spans="1:16" ht="30" x14ac:dyDescent="0.25">
      <c r="A19" s="14" t="s">
        <v>1047</v>
      </c>
      <c r="B19" s="14"/>
      <c r="C19" s="14">
        <v>1</v>
      </c>
      <c r="D19" s="14" t="s">
        <v>1002</v>
      </c>
      <c r="E19" s="14" t="s">
        <v>76</v>
      </c>
      <c r="F19" s="14" t="s">
        <v>1017</v>
      </c>
      <c r="G19" s="18">
        <v>2020</v>
      </c>
      <c r="H19" s="18">
        <v>2021</v>
      </c>
      <c r="I19" s="14"/>
      <c r="J19" s="14"/>
      <c r="K19" s="14"/>
      <c r="L19" s="150">
        <v>545650</v>
      </c>
      <c r="M19" s="146">
        <f>L19*0.95</f>
        <v>518367.5</v>
      </c>
      <c r="N19" s="14"/>
      <c r="O19" s="14" t="s">
        <v>1042</v>
      </c>
      <c r="P19" s="88" t="s">
        <v>1019</v>
      </c>
    </row>
    <row r="20" spans="1:16" ht="45" x14ac:dyDescent="0.25">
      <c r="A20" s="14" t="s">
        <v>1048</v>
      </c>
      <c r="B20" s="14"/>
      <c r="C20" s="14">
        <v>4</v>
      </c>
      <c r="D20" s="14" t="s">
        <v>1002</v>
      </c>
      <c r="E20" s="14" t="s">
        <v>76</v>
      </c>
      <c r="F20" s="14" t="s">
        <v>1049</v>
      </c>
      <c r="G20" s="18">
        <v>2020</v>
      </c>
      <c r="H20" s="18">
        <v>2023</v>
      </c>
      <c r="I20" s="14"/>
      <c r="J20" s="14"/>
      <c r="K20" s="14"/>
      <c r="L20" s="150">
        <v>164827</v>
      </c>
      <c r="M20" s="146">
        <f>L20*0.7</f>
        <v>115378.9</v>
      </c>
      <c r="N20" s="14"/>
      <c r="O20" s="14" t="s">
        <v>1042</v>
      </c>
      <c r="P20" s="90" t="s">
        <v>1050</v>
      </c>
    </row>
    <row r="21" spans="1:16" ht="45" x14ac:dyDescent="0.25">
      <c r="A21" s="14" t="s">
        <v>1051</v>
      </c>
      <c r="B21" s="14"/>
      <c r="C21" s="14">
        <v>8</v>
      </c>
      <c r="D21" s="14" t="s">
        <v>1002</v>
      </c>
      <c r="E21" s="14" t="s">
        <v>76</v>
      </c>
      <c r="F21" s="14" t="s">
        <v>1017</v>
      </c>
      <c r="G21" s="18">
        <v>2020</v>
      </c>
      <c r="H21" s="18">
        <v>2022</v>
      </c>
      <c r="I21" s="14"/>
      <c r="J21" s="14"/>
      <c r="K21" s="14"/>
      <c r="L21" s="150">
        <v>2433935</v>
      </c>
      <c r="M21" s="140"/>
      <c r="N21" s="14"/>
      <c r="O21" s="14" t="s">
        <v>1042</v>
      </c>
      <c r="P21" s="88" t="s">
        <v>1019</v>
      </c>
    </row>
    <row r="22" spans="1:16" ht="45" x14ac:dyDescent="0.25">
      <c r="A22" s="14" t="s">
        <v>1052</v>
      </c>
      <c r="B22" s="14"/>
      <c r="C22" s="14">
        <v>1</v>
      </c>
      <c r="D22" s="14" t="s">
        <v>1002</v>
      </c>
      <c r="E22" s="14" t="s">
        <v>76</v>
      </c>
      <c r="F22" s="14" t="s">
        <v>1053</v>
      </c>
      <c r="G22" s="18">
        <v>2020</v>
      </c>
      <c r="H22" s="18">
        <v>2023</v>
      </c>
      <c r="I22" s="14"/>
      <c r="J22" s="14"/>
      <c r="K22" s="14"/>
      <c r="L22" s="150">
        <v>426225</v>
      </c>
      <c r="M22" s="139">
        <f>L22*0.85</f>
        <v>362291.25</v>
      </c>
      <c r="N22" s="14"/>
      <c r="O22" s="14" t="s">
        <v>1042</v>
      </c>
      <c r="P22" s="88" t="s">
        <v>1019</v>
      </c>
    </row>
    <row r="23" spans="1:16" ht="90" x14ac:dyDescent="0.25">
      <c r="A23" s="14" t="s">
        <v>1054</v>
      </c>
      <c r="B23" s="14"/>
      <c r="C23" s="14">
        <v>1</v>
      </c>
      <c r="D23" s="14" t="s">
        <v>1002</v>
      </c>
      <c r="E23" s="14" t="s">
        <v>76</v>
      </c>
      <c r="F23" s="14" t="s">
        <v>1037</v>
      </c>
      <c r="G23" s="18">
        <v>2017</v>
      </c>
      <c r="H23" s="18">
        <v>2020</v>
      </c>
      <c r="I23" s="14"/>
      <c r="J23" s="14"/>
      <c r="K23" s="14"/>
      <c r="L23" s="150">
        <v>342234</v>
      </c>
      <c r="M23" s="139">
        <v>342234</v>
      </c>
      <c r="N23" s="14"/>
      <c r="O23" s="14"/>
      <c r="P23" s="90" t="s">
        <v>1019</v>
      </c>
    </row>
    <row r="24" spans="1:16" ht="13.5" customHeight="1" x14ac:dyDescent="0.25">
      <c r="A24" s="14" t="s">
        <v>1055</v>
      </c>
      <c r="B24" s="14"/>
      <c r="C24" s="14">
        <v>8.9</v>
      </c>
      <c r="D24" s="14" t="s">
        <v>1002</v>
      </c>
      <c r="E24" s="14" t="s">
        <v>76</v>
      </c>
      <c r="F24" s="14" t="s">
        <v>1056</v>
      </c>
      <c r="G24" s="18">
        <v>2020</v>
      </c>
      <c r="H24" s="18">
        <v>2024</v>
      </c>
      <c r="I24" s="14"/>
      <c r="J24" s="14"/>
      <c r="K24" s="14"/>
      <c r="L24" s="150">
        <v>1651290</v>
      </c>
      <c r="M24" s="139">
        <f>L24*0.54</f>
        <v>891696.60000000009</v>
      </c>
      <c r="N24" s="14"/>
      <c r="O24" s="14"/>
      <c r="P24" s="90" t="s">
        <v>1057</v>
      </c>
    </row>
    <row r="25" spans="1:16" ht="60" x14ac:dyDescent="0.25">
      <c r="A25" s="14" t="s">
        <v>1058</v>
      </c>
      <c r="B25" s="14"/>
      <c r="C25" s="14">
        <v>1</v>
      </c>
      <c r="D25" s="14" t="s">
        <v>1002</v>
      </c>
      <c r="E25" s="14" t="s">
        <v>76</v>
      </c>
      <c r="F25" s="14" t="s">
        <v>1037</v>
      </c>
      <c r="G25" s="18">
        <v>2017</v>
      </c>
      <c r="H25" s="18">
        <v>2019</v>
      </c>
      <c r="I25" s="14"/>
      <c r="J25" s="14"/>
      <c r="K25" s="14"/>
      <c r="L25" s="150">
        <v>249835</v>
      </c>
      <c r="M25" s="139">
        <v>249835</v>
      </c>
      <c r="N25" s="14"/>
      <c r="O25" s="14" t="s">
        <v>1059</v>
      </c>
      <c r="P25" s="88" t="s">
        <v>1019</v>
      </c>
    </row>
    <row r="26" spans="1:16" ht="45" x14ac:dyDescent="0.25">
      <c r="A26" s="14" t="s">
        <v>1060</v>
      </c>
      <c r="B26" s="14"/>
      <c r="C26" s="14">
        <v>1.4</v>
      </c>
      <c r="D26" s="14" t="s">
        <v>1002</v>
      </c>
      <c r="E26" s="14" t="s">
        <v>76</v>
      </c>
      <c r="F26" s="14" t="s">
        <v>1041</v>
      </c>
      <c r="G26" s="18">
        <v>2020</v>
      </c>
      <c r="H26" s="18">
        <v>2022</v>
      </c>
      <c r="I26" s="14"/>
      <c r="J26" s="14"/>
      <c r="K26" s="14"/>
      <c r="L26" s="150">
        <v>95065</v>
      </c>
      <c r="M26" s="139">
        <f>95065*0.5</f>
        <v>47532.5</v>
      </c>
      <c r="N26" s="14"/>
      <c r="O26" s="14" t="s">
        <v>1030</v>
      </c>
      <c r="P26" s="88" t="s">
        <v>1019</v>
      </c>
    </row>
    <row r="27" spans="1:16" ht="45" x14ac:dyDescent="0.25">
      <c r="A27" s="14" t="s">
        <v>1061</v>
      </c>
      <c r="B27" s="14"/>
      <c r="C27" s="14">
        <v>1.4</v>
      </c>
      <c r="D27" s="14" t="s">
        <v>1002</v>
      </c>
      <c r="E27" s="14" t="s">
        <v>76</v>
      </c>
      <c r="F27" s="14" t="s">
        <v>1062</v>
      </c>
      <c r="G27" s="18">
        <v>2020</v>
      </c>
      <c r="H27" s="18">
        <v>2024</v>
      </c>
      <c r="I27" s="14"/>
      <c r="J27" s="14"/>
      <c r="K27" s="14"/>
      <c r="L27" s="150">
        <v>1190803</v>
      </c>
      <c r="M27" s="139">
        <v>1190803</v>
      </c>
      <c r="N27" s="14"/>
      <c r="O27" s="14" t="s">
        <v>1063</v>
      </c>
      <c r="P27" s="90" t="s">
        <v>1019</v>
      </c>
    </row>
    <row r="28" spans="1:16" ht="90" x14ac:dyDescent="0.25">
      <c r="A28" s="14" t="s">
        <v>1064</v>
      </c>
      <c r="B28" s="14"/>
      <c r="C28" s="14">
        <v>8</v>
      </c>
      <c r="D28" s="14" t="s">
        <v>1002</v>
      </c>
      <c r="E28" s="14" t="s">
        <v>76</v>
      </c>
      <c r="F28" s="14" t="s">
        <v>1037</v>
      </c>
      <c r="G28" s="18">
        <v>2018</v>
      </c>
      <c r="H28" s="18">
        <v>2022</v>
      </c>
      <c r="I28" s="14"/>
      <c r="J28" s="14"/>
      <c r="K28" s="14"/>
      <c r="L28" s="150">
        <v>285022</v>
      </c>
      <c r="M28" s="139">
        <f>L28*0.4</f>
        <v>114008.8</v>
      </c>
      <c r="N28" s="14"/>
      <c r="O28" s="14" t="s">
        <v>1065</v>
      </c>
      <c r="P28" s="88" t="s">
        <v>1019</v>
      </c>
    </row>
    <row r="29" spans="1:16" ht="45" x14ac:dyDescent="0.25">
      <c r="A29" s="14" t="s">
        <v>1066</v>
      </c>
      <c r="B29" s="14"/>
      <c r="C29" s="14">
        <v>4</v>
      </c>
      <c r="D29" s="14" t="s">
        <v>1002</v>
      </c>
      <c r="E29" s="14" t="s">
        <v>76</v>
      </c>
      <c r="F29" s="14" t="s">
        <v>1062</v>
      </c>
      <c r="G29" s="18">
        <v>2020</v>
      </c>
      <c r="H29" s="18">
        <v>2021</v>
      </c>
      <c r="I29" s="14"/>
      <c r="J29" s="14"/>
      <c r="K29" s="14"/>
      <c r="L29" s="150">
        <v>75880</v>
      </c>
      <c r="M29" s="139">
        <f>L29*0.5</f>
        <v>37940</v>
      </c>
      <c r="N29" s="14"/>
      <c r="O29" s="14" t="s">
        <v>1067</v>
      </c>
      <c r="P29" s="88" t="s">
        <v>1019</v>
      </c>
    </row>
    <row r="30" spans="1:16" ht="90" x14ac:dyDescent="0.25">
      <c r="A30" s="14" t="s">
        <v>1068</v>
      </c>
      <c r="B30" s="14"/>
      <c r="C30" s="14">
        <v>8</v>
      </c>
      <c r="D30" s="14" t="s">
        <v>1002</v>
      </c>
      <c r="E30" s="14" t="s">
        <v>76</v>
      </c>
      <c r="F30" s="14" t="s">
        <v>1069</v>
      </c>
      <c r="G30" s="18">
        <v>2020</v>
      </c>
      <c r="H30" s="18">
        <v>2023</v>
      </c>
      <c r="I30" s="14"/>
      <c r="J30" s="14"/>
      <c r="K30" s="14"/>
      <c r="L30" s="150">
        <v>326244</v>
      </c>
      <c r="M30" s="139">
        <f>L30*0.65</f>
        <v>212058.6</v>
      </c>
      <c r="N30" s="14"/>
      <c r="O30" s="14" t="s">
        <v>1065</v>
      </c>
      <c r="P30" s="88" t="s">
        <v>1019</v>
      </c>
    </row>
    <row r="31" spans="1:16" s="142" customFormat="1" ht="90" x14ac:dyDescent="0.25">
      <c r="A31" s="144" t="s">
        <v>1070</v>
      </c>
      <c r="B31" s="144"/>
      <c r="C31" s="144">
        <v>8</v>
      </c>
      <c r="D31" s="144" t="s">
        <v>1002</v>
      </c>
      <c r="E31" s="144" t="s">
        <v>76</v>
      </c>
      <c r="F31" s="144" t="s">
        <v>1037</v>
      </c>
      <c r="G31" s="145">
        <v>2018</v>
      </c>
      <c r="H31" s="145">
        <v>2023</v>
      </c>
      <c r="I31" s="144"/>
      <c r="J31" s="144"/>
      <c r="K31" s="144"/>
      <c r="L31" s="151">
        <v>592996</v>
      </c>
      <c r="M31" s="141">
        <f>L31*0.6</f>
        <v>355797.6</v>
      </c>
      <c r="N31" s="144"/>
      <c r="O31" s="144" t="s">
        <v>1065</v>
      </c>
      <c r="P31" s="143" t="s">
        <v>1019</v>
      </c>
    </row>
    <row r="32" spans="1:16" ht="33.6" customHeight="1" x14ac:dyDescent="0.25">
      <c r="A32" s="14" t="s">
        <v>1071</v>
      </c>
      <c r="B32" s="14"/>
      <c r="C32" s="14">
        <v>8</v>
      </c>
      <c r="D32" s="14" t="s">
        <v>1002</v>
      </c>
      <c r="E32" s="14" t="s">
        <v>76</v>
      </c>
      <c r="F32" s="14" t="s">
        <v>1072</v>
      </c>
      <c r="G32" s="18">
        <v>2020</v>
      </c>
      <c r="H32" s="18">
        <v>2022</v>
      </c>
      <c r="I32" s="14"/>
      <c r="J32" s="14"/>
      <c r="K32" s="14"/>
      <c r="L32" s="151">
        <v>812213</v>
      </c>
      <c r="M32" s="141">
        <f>L32*0.68</f>
        <v>552304.84000000008</v>
      </c>
      <c r="N32" s="14"/>
      <c r="O32" s="14"/>
      <c r="P32" s="88" t="s">
        <v>1019</v>
      </c>
    </row>
    <row r="33" spans="1:16" ht="36.6" customHeight="1" x14ac:dyDescent="0.25">
      <c r="A33" s="14" t="s">
        <v>1073</v>
      </c>
      <c r="B33" s="14"/>
      <c r="C33" s="14">
        <v>4</v>
      </c>
      <c r="D33" s="14" t="s">
        <v>1002</v>
      </c>
      <c r="E33" s="14" t="s">
        <v>76</v>
      </c>
      <c r="F33" s="14" t="s">
        <v>1017</v>
      </c>
      <c r="G33" s="18">
        <v>2020</v>
      </c>
      <c r="H33" s="18">
        <v>2023</v>
      </c>
      <c r="I33" s="14"/>
      <c r="J33" s="14"/>
      <c r="K33" s="14"/>
      <c r="L33" s="150">
        <v>424991</v>
      </c>
      <c r="M33" s="139">
        <v>424991</v>
      </c>
      <c r="N33" s="14"/>
      <c r="O33" s="14" t="s">
        <v>1042</v>
      </c>
      <c r="P33" s="88" t="s">
        <v>1019</v>
      </c>
    </row>
    <row r="34" spans="1:16" ht="18.95" customHeight="1" x14ac:dyDescent="0.25">
      <c r="A34" s="14" t="s">
        <v>1074</v>
      </c>
      <c r="B34" s="14"/>
      <c r="C34" s="14">
        <v>8</v>
      </c>
      <c r="D34" s="14" t="s">
        <v>1002</v>
      </c>
      <c r="E34" s="14" t="s">
        <v>76</v>
      </c>
      <c r="F34" s="14" t="s">
        <v>1072</v>
      </c>
      <c r="G34" s="18">
        <v>2018</v>
      </c>
      <c r="H34" s="18">
        <v>2019</v>
      </c>
      <c r="I34" s="14"/>
      <c r="J34" s="14"/>
      <c r="K34" s="14"/>
      <c r="L34" s="150">
        <v>917954</v>
      </c>
      <c r="M34" s="139">
        <f>L34*0.67</f>
        <v>615029.18000000005</v>
      </c>
      <c r="N34" s="14"/>
      <c r="O34" s="14" t="s">
        <v>1075</v>
      </c>
      <c r="P34" s="88" t="s">
        <v>1019</v>
      </c>
    </row>
    <row r="35" spans="1:16" ht="26.45" customHeight="1" x14ac:dyDescent="0.25">
      <c r="A35" s="14" t="s">
        <v>1076</v>
      </c>
      <c r="B35" s="14"/>
      <c r="C35" s="14">
        <v>1.4</v>
      </c>
      <c r="D35" s="14" t="s">
        <v>1002</v>
      </c>
      <c r="E35" s="14" t="s">
        <v>76</v>
      </c>
      <c r="F35" s="14" t="s">
        <v>1062</v>
      </c>
      <c r="G35" s="18">
        <v>2020</v>
      </c>
      <c r="H35" s="18">
        <v>2024</v>
      </c>
      <c r="I35" s="14"/>
      <c r="J35" s="14"/>
      <c r="K35" s="14"/>
      <c r="L35" s="150">
        <v>424509</v>
      </c>
      <c r="M35" s="139">
        <v>424509</v>
      </c>
      <c r="N35" s="14"/>
      <c r="O35" s="14" t="s">
        <v>1077</v>
      </c>
      <c r="P35" s="88" t="s">
        <v>1019</v>
      </c>
    </row>
    <row r="36" spans="1:16" ht="75" x14ac:dyDescent="0.25">
      <c r="A36" s="14" t="s">
        <v>1078</v>
      </c>
      <c r="B36" s="14"/>
      <c r="C36" s="14">
        <v>1.4</v>
      </c>
      <c r="D36" s="14" t="s">
        <v>1002</v>
      </c>
      <c r="E36" s="14" t="s">
        <v>76</v>
      </c>
      <c r="F36" s="14" t="s">
        <v>1037</v>
      </c>
      <c r="G36" s="18">
        <v>2018</v>
      </c>
      <c r="H36" s="18">
        <v>2022</v>
      </c>
      <c r="I36" s="14"/>
      <c r="J36" s="14"/>
      <c r="K36" s="14"/>
      <c r="L36" s="150">
        <v>447191</v>
      </c>
      <c r="M36" s="139">
        <v>447191</v>
      </c>
      <c r="N36" s="14"/>
      <c r="O36" s="14"/>
      <c r="P36" s="90" t="s">
        <v>1019</v>
      </c>
    </row>
    <row r="37" spans="1:16" ht="24.95" customHeight="1" x14ac:dyDescent="0.25">
      <c r="A37" s="14" t="s">
        <v>1079</v>
      </c>
      <c r="B37" s="14"/>
      <c r="C37" s="14">
        <v>1.4</v>
      </c>
      <c r="D37" s="14" t="s">
        <v>1002</v>
      </c>
      <c r="E37" s="14" t="s">
        <v>76</v>
      </c>
      <c r="F37" s="14" t="s">
        <v>1053</v>
      </c>
      <c r="G37" s="18">
        <v>2019</v>
      </c>
      <c r="H37" s="18">
        <v>2019</v>
      </c>
      <c r="I37" s="14"/>
      <c r="J37" s="14"/>
      <c r="K37" s="14"/>
      <c r="L37" s="150">
        <v>43016</v>
      </c>
      <c r="M37" s="139">
        <v>43016</v>
      </c>
      <c r="N37" s="14"/>
      <c r="O37" s="14" t="s">
        <v>1080</v>
      </c>
      <c r="P37" s="88" t="s">
        <v>1019</v>
      </c>
    </row>
    <row r="38" spans="1:16" ht="27" customHeight="1" x14ac:dyDescent="0.25">
      <c r="A38" s="14" t="s">
        <v>1081</v>
      </c>
      <c r="B38" s="14"/>
      <c r="C38" s="14">
        <v>8</v>
      </c>
      <c r="D38" s="14" t="s">
        <v>1002</v>
      </c>
      <c r="E38" s="14" t="s">
        <v>76</v>
      </c>
      <c r="F38" s="14" t="s">
        <v>1082</v>
      </c>
      <c r="G38" s="18">
        <v>2019</v>
      </c>
      <c r="H38" s="18">
        <v>2019</v>
      </c>
      <c r="I38" s="14"/>
      <c r="J38" s="14"/>
      <c r="K38" s="14"/>
      <c r="L38" s="150">
        <v>164681</v>
      </c>
      <c r="M38" s="139">
        <f>L38*0.5</f>
        <v>82340.5</v>
      </c>
      <c r="N38" s="14"/>
      <c r="O38" s="14"/>
      <c r="P38" s="90" t="s">
        <v>1019</v>
      </c>
    </row>
    <row r="39" spans="1:16" ht="90" x14ac:dyDescent="0.25">
      <c r="A39" s="14" t="s">
        <v>1083</v>
      </c>
      <c r="B39" s="14"/>
      <c r="C39" s="14">
        <v>8</v>
      </c>
      <c r="D39" s="14" t="s">
        <v>1002</v>
      </c>
      <c r="E39" s="14" t="s">
        <v>76</v>
      </c>
      <c r="F39" s="14" t="s">
        <v>1017</v>
      </c>
      <c r="G39" s="18">
        <v>2018</v>
      </c>
      <c r="H39" s="18">
        <v>2021</v>
      </c>
      <c r="I39" s="14"/>
      <c r="J39" s="14"/>
      <c r="K39" s="14"/>
      <c r="L39" s="150">
        <v>251255</v>
      </c>
      <c r="M39" s="139">
        <f>L39*0.72</f>
        <v>180903.6</v>
      </c>
      <c r="N39" s="14"/>
      <c r="O39" s="14" t="s">
        <v>1065</v>
      </c>
      <c r="P39" s="90" t="s">
        <v>1019</v>
      </c>
    </row>
    <row r="40" spans="1:16" ht="90" x14ac:dyDescent="0.25">
      <c r="A40" s="14" t="s">
        <v>1084</v>
      </c>
      <c r="B40" s="14"/>
      <c r="C40" s="14">
        <v>8</v>
      </c>
      <c r="D40" s="14" t="s">
        <v>1002</v>
      </c>
      <c r="E40" s="14" t="s">
        <v>76</v>
      </c>
      <c r="F40" s="14" t="s">
        <v>1029</v>
      </c>
      <c r="G40" s="18">
        <v>2018</v>
      </c>
      <c r="H40" s="18">
        <v>2021</v>
      </c>
      <c r="I40" s="14"/>
      <c r="J40" s="14"/>
      <c r="K40" s="14"/>
      <c r="L40" s="150">
        <v>429984</v>
      </c>
      <c r="M40" s="139">
        <f>L40*0.74</f>
        <v>318188.15999999997</v>
      </c>
      <c r="N40" s="14"/>
      <c r="O40" s="14" t="s">
        <v>1065</v>
      </c>
      <c r="P40" s="90" t="s">
        <v>1019</v>
      </c>
    </row>
    <row r="41" spans="1:16" ht="26.45" customHeight="1" x14ac:dyDescent="0.25">
      <c r="A41" s="14" t="s">
        <v>1085</v>
      </c>
      <c r="B41" s="14"/>
      <c r="C41" s="14">
        <v>8</v>
      </c>
      <c r="D41" s="14" t="s">
        <v>1002</v>
      </c>
      <c r="E41" s="14" t="s">
        <v>76</v>
      </c>
      <c r="F41" s="14" t="s">
        <v>1072</v>
      </c>
      <c r="G41" s="18">
        <v>2018</v>
      </c>
      <c r="H41" s="18">
        <v>2020</v>
      </c>
      <c r="I41" s="14"/>
      <c r="J41" s="14"/>
      <c r="K41" s="14"/>
      <c r="L41" s="150">
        <v>158157</v>
      </c>
      <c r="M41" s="139">
        <f>L41*0.7</f>
        <v>110709.9</v>
      </c>
      <c r="N41" s="14"/>
      <c r="O41" s="14"/>
      <c r="P41" s="88" t="s">
        <v>1019</v>
      </c>
    </row>
    <row r="42" spans="1:16" s="89" customFormat="1" ht="90" x14ac:dyDescent="0.25">
      <c r="A42" s="14" t="s">
        <v>1086</v>
      </c>
      <c r="B42" s="14"/>
      <c r="C42" s="14">
        <v>8</v>
      </c>
      <c r="D42" s="14" t="s">
        <v>1002</v>
      </c>
      <c r="E42" s="14" t="s">
        <v>76</v>
      </c>
      <c r="F42" s="14" t="s">
        <v>1037</v>
      </c>
      <c r="G42" s="18">
        <v>2020</v>
      </c>
      <c r="H42" s="18">
        <v>2022</v>
      </c>
      <c r="I42" s="14"/>
      <c r="J42" s="14"/>
      <c r="K42" s="14"/>
      <c r="L42" s="150">
        <v>172224</v>
      </c>
      <c r="M42" s="139">
        <f>L42*0.93</f>
        <v>160168.32000000001</v>
      </c>
      <c r="N42" s="14"/>
      <c r="O42" s="14" t="s">
        <v>1065</v>
      </c>
      <c r="P42" s="88" t="s">
        <v>1019</v>
      </c>
    </row>
    <row r="43" spans="1:16" ht="23.45" customHeight="1" x14ac:dyDescent="0.25">
      <c r="A43" s="14" t="s">
        <v>1087</v>
      </c>
      <c r="B43" s="14"/>
      <c r="C43" s="14">
        <v>1.4</v>
      </c>
      <c r="D43" s="14" t="s">
        <v>1002</v>
      </c>
      <c r="E43" s="14" t="s">
        <v>76</v>
      </c>
      <c r="F43" s="14" t="s">
        <v>1088</v>
      </c>
      <c r="G43" s="18">
        <v>2018</v>
      </c>
      <c r="H43" s="18">
        <v>2020</v>
      </c>
      <c r="I43" s="14"/>
      <c r="J43" s="14"/>
      <c r="K43" s="14"/>
      <c r="L43" s="150">
        <v>214648</v>
      </c>
      <c r="M43" s="139">
        <f>L43*0.65</f>
        <v>139521.20000000001</v>
      </c>
      <c r="N43" s="14"/>
      <c r="O43" s="14" t="s">
        <v>1042</v>
      </c>
      <c r="P43" s="88" t="s">
        <v>1019</v>
      </c>
    </row>
    <row r="44" spans="1:16" ht="54.95" customHeight="1" x14ac:dyDescent="0.25">
      <c r="A44" s="14" t="s">
        <v>1089</v>
      </c>
      <c r="B44" s="14"/>
      <c r="C44" s="14">
        <v>8</v>
      </c>
      <c r="D44" s="14" t="s">
        <v>1002</v>
      </c>
      <c r="E44" s="14" t="s">
        <v>76</v>
      </c>
      <c r="F44" s="14" t="s">
        <v>1090</v>
      </c>
      <c r="G44" s="18">
        <v>2017</v>
      </c>
      <c r="H44" s="18">
        <v>2020</v>
      </c>
      <c r="I44" s="14"/>
      <c r="J44" s="14"/>
      <c r="K44" s="14"/>
      <c r="L44" s="150">
        <v>108916</v>
      </c>
      <c r="M44" s="140">
        <f>L44*0.4</f>
        <v>43566.400000000001</v>
      </c>
      <c r="N44" s="14"/>
      <c r="O44" s="14"/>
      <c r="P44" s="88" t="s">
        <v>1019</v>
      </c>
    </row>
    <row r="45" spans="1:16" ht="32.1" customHeight="1" x14ac:dyDescent="0.25">
      <c r="A45" s="14" t="s">
        <v>718</v>
      </c>
      <c r="B45" s="14"/>
      <c r="C45" s="14">
        <v>1.4</v>
      </c>
      <c r="D45" s="14" t="s">
        <v>1002</v>
      </c>
      <c r="E45" s="14" t="s">
        <v>76</v>
      </c>
      <c r="F45" s="14" t="s">
        <v>1062</v>
      </c>
      <c r="G45" s="18">
        <v>2017</v>
      </c>
      <c r="H45" s="18">
        <v>2020</v>
      </c>
      <c r="I45" s="14"/>
      <c r="J45" s="14"/>
      <c r="K45" s="14"/>
      <c r="L45" s="150">
        <v>525624</v>
      </c>
      <c r="M45" s="139">
        <f>L45*0.91</f>
        <v>478317.84</v>
      </c>
      <c r="N45" s="14"/>
      <c r="O45" s="14" t="s">
        <v>1038</v>
      </c>
      <c r="P45" s="88" t="s">
        <v>1019</v>
      </c>
    </row>
    <row r="46" spans="1:16" s="89" customFormat="1" ht="45" x14ac:dyDescent="0.25">
      <c r="A46" s="14" t="s">
        <v>1091</v>
      </c>
      <c r="B46" s="14"/>
      <c r="C46" s="14">
        <v>1.4</v>
      </c>
      <c r="D46" s="14" t="s">
        <v>1002</v>
      </c>
      <c r="E46" s="14" t="s">
        <v>76</v>
      </c>
      <c r="F46" s="14" t="s">
        <v>1037</v>
      </c>
      <c r="G46" s="18">
        <v>2020</v>
      </c>
      <c r="H46" s="18">
        <v>2023</v>
      </c>
      <c r="I46" s="14"/>
      <c r="J46" s="14"/>
      <c r="K46" s="14"/>
      <c r="L46" s="150">
        <v>403487</v>
      </c>
      <c r="M46" s="139">
        <f>L46*0.88</f>
        <v>355068.56</v>
      </c>
      <c r="N46" s="14"/>
      <c r="O46" s="14" t="s">
        <v>1042</v>
      </c>
      <c r="P46" s="88" t="s">
        <v>1019</v>
      </c>
    </row>
    <row r="47" spans="1:16" ht="30" x14ac:dyDescent="0.25">
      <c r="A47" s="14" t="s">
        <v>1092</v>
      </c>
      <c r="B47" s="14"/>
      <c r="C47" s="14">
        <v>1.4</v>
      </c>
      <c r="D47" s="14" t="s">
        <v>1002</v>
      </c>
      <c r="E47" s="14" t="s">
        <v>76</v>
      </c>
      <c r="F47" s="14" t="s">
        <v>1017</v>
      </c>
      <c r="G47" s="18">
        <v>2016</v>
      </c>
      <c r="H47" s="18">
        <v>2019</v>
      </c>
      <c r="I47" s="14"/>
      <c r="J47" s="14"/>
      <c r="K47" s="14"/>
      <c r="L47" s="150">
        <v>1069179</v>
      </c>
      <c r="M47" s="139">
        <f>L47*0.96</f>
        <v>1026411.84</v>
      </c>
      <c r="N47" s="14"/>
      <c r="O47" s="14"/>
      <c r="P47" s="88" t="s">
        <v>1019</v>
      </c>
    </row>
    <row r="48" spans="1:16" ht="21" customHeight="1" x14ac:dyDescent="0.25">
      <c r="A48" s="14" t="s">
        <v>1093</v>
      </c>
      <c r="B48" s="14"/>
      <c r="C48" s="14">
        <v>8</v>
      </c>
      <c r="D48" s="14" t="s">
        <v>1002</v>
      </c>
      <c r="E48" s="14" t="s">
        <v>76</v>
      </c>
      <c r="F48" s="14" t="s">
        <v>1088</v>
      </c>
      <c r="G48" s="18">
        <v>2016</v>
      </c>
      <c r="H48" s="18">
        <v>2019</v>
      </c>
      <c r="I48" s="14"/>
      <c r="J48" s="14"/>
      <c r="K48" s="14"/>
      <c r="L48" s="150">
        <v>378336</v>
      </c>
      <c r="M48" s="139">
        <f>L48*0.93</f>
        <v>351852.48000000004</v>
      </c>
      <c r="N48" s="14"/>
      <c r="O48" s="14" t="s">
        <v>1038</v>
      </c>
      <c r="P48" s="88" t="s">
        <v>1019</v>
      </c>
    </row>
    <row r="49" spans="1:20" s="89" customFormat="1" ht="60" hidden="1" x14ac:dyDescent="0.25">
      <c r="A49" s="14" t="s">
        <v>1094</v>
      </c>
      <c r="B49" s="14"/>
      <c r="C49" s="14">
        <v>1.4</v>
      </c>
      <c r="D49" s="14" t="s">
        <v>1002</v>
      </c>
      <c r="E49" s="14" t="s">
        <v>76</v>
      </c>
      <c r="F49" s="14" t="s">
        <v>1037</v>
      </c>
      <c r="G49" s="18">
        <v>2021</v>
      </c>
      <c r="H49" s="18">
        <v>2025</v>
      </c>
      <c r="I49" s="14"/>
      <c r="J49" s="14"/>
      <c r="K49" s="14"/>
      <c r="L49" s="150">
        <v>516188</v>
      </c>
      <c r="M49" s="139">
        <f>L49*0.6</f>
        <v>309712.8</v>
      </c>
      <c r="N49" s="14"/>
      <c r="O49" s="14" t="s">
        <v>1095</v>
      </c>
      <c r="P49" s="88" t="s">
        <v>1019</v>
      </c>
    </row>
    <row r="50" spans="1:20" ht="45" hidden="1" x14ac:dyDescent="0.25">
      <c r="A50" s="14" t="s">
        <v>1096</v>
      </c>
      <c r="B50" s="14"/>
      <c r="C50" s="14">
        <v>1.4</v>
      </c>
      <c r="D50" s="14" t="s">
        <v>1002</v>
      </c>
      <c r="E50" s="14" t="s">
        <v>76</v>
      </c>
      <c r="F50" s="14" t="s">
        <v>1037</v>
      </c>
      <c r="G50" s="18">
        <v>2021</v>
      </c>
      <c r="H50" s="18">
        <v>2022</v>
      </c>
      <c r="I50" s="14"/>
      <c r="J50" s="14"/>
      <c r="K50" s="14"/>
      <c r="L50" s="150">
        <v>211035</v>
      </c>
      <c r="M50" s="139">
        <f>L50*0.98</f>
        <v>206814.3</v>
      </c>
      <c r="N50" s="14"/>
      <c r="O50" s="14" t="s">
        <v>1018</v>
      </c>
      <c r="P50" s="88" t="s">
        <v>1019</v>
      </c>
    </row>
    <row r="51" spans="1:20" ht="30" hidden="1" x14ac:dyDescent="0.25">
      <c r="A51" s="14" t="s">
        <v>1097</v>
      </c>
      <c r="B51" s="14"/>
      <c r="C51" s="14">
        <v>7</v>
      </c>
      <c r="D51" s="14" t="s">
        <v>1002</v>
      </c>
      <c r="E51" s="14" t="s">
        <v>76</v>
      </c>
      <c r="F51" s="14" t="s">
        <v>1098</v>
      </c>
      <c r="G51" s="18">
        <v>2021</v>
      </c>
      <c r="H51" s="18">
        <v>2023</v>
      </c>
      <c r="I51" s="14"/>
      <c r="J51" s="14"/>
      <c r="K51" s="14"/>
      <c r="L51" s="150">
        <v>6544401</v>
      </c>
      <c r="M51" s="139">
        <f>L51*0.37</f>
        <v>2421428.37</v>
      </c>
      <c r="N51" s="14"/>
      <c r="O51" s="14" t="s">
        <v>1023</v>
      </c>
      <c r="P51" s="90" t="s">
        <v>1019</v>
      </c>
    </row>
    <row r="52" spans="1:20" ht="105" x14ac:dyDescent="0.25">
      <c r="A52" s="14" t="s">
        <v>1099</v>
      </c>
      <c r="B52" s="14"/>
      <c r="C52" s="14">
        <v>7</v>
      </c>
      <c r="D52" s="14" t="s">
        <v>1002</v>
      </c>
      <c r="E52" s="14" t="s">
        <v>76</v>
      </c>
      <c r="F52" s="14" t="s">
        <v>1100</v>
      </c>
      <c r="G52" s="18">
        <v>2021</v>
      </c>
      <c r="H52" s="18">
        <v>2022</v>
      </c>
      <c r="I52" s="14"/>
      <c r="J52" s="14"/>
      <c r="K52" s="14"/>
      <c r="L52" s="150">
        <v>432634</v>
      </c>
      <c r="M52" s="139">
        <f>L52*0.95</f>
        <v>411002.3</v>
      </c>
      <c r="N52" s="140"/>
      <c r="O52" s="14" t="s">
        <v>1101</v>
      </c>
      <c r="P52" s="88" t="s">
        <v>1019</v>
      </c>
    </row>
    <row r="53" spans="1:20" ht="30" x14ac:dyDescent="0.25">
      <c r="A53" s="14" t="s">
        <v>1102</v>
      </c>
      <c r="B53" s="14"/>
      <c r="C53" s="14">
        <v>7</v>
      </c>
      <c r="D53" s="14" t="s">
        <v>1002</v>
      </c>
      <c r="E53" s="14" t="s">
        <v>76</v>
      </c>
      <c r="F53" s="14" t="s">
        <v>1103</v>
      </c>
      <c r="G53" s="18">
        <v>2021</v>
      </c>
      <c r="H53" s="18">
        <v>2021</v>
      </c>
      <c r="I53" s="14"/>
      <c r="J53" s="14"/>
      <c r="K53" s="14"/>
      <c r="L53" s="150">
        <v>502543</v>
      </c>
      <c r="M53" s="139">
        <f>L53*0.5</f>
        <v>251271.5</v>
      </c>
      <c r="N53" s="14"/>
      <c r="O53" s="14" t="s">
        <v>1023</v>
      </c>
      <c r="P53" s="90" t="s">
        <v>1019</v>
      </c>
    </row>
    <row r="54" spans="1:20" ht="30" x14ac:dyDescent="0.25">
      <c r="A54" s="14" t="s">
        <v>1104</v>
      </c>
      <c r="B54" s="14"/>
      <c r="C54" s="14">
        <v>7</v>
      </c>
      <c r="D54" s="14" t="s">
        <v>1002</v>
      </c>
      <c r="E54" s="14" t="s">
        <v>76</v>
      </c>
      <c r="F54" s="14" t="s">
        <v>1105</v>
      </c>
      <c r="G54" s="18">
        <v>2020</v>
      </c>
      <c r="H54" s="18">
        <v>2023</v>
      </c>
      <c r="I54" s="14"/>
      <c r="J54" s="14"/>
      <c r="K54" s="14"/>
      <c r="L54" s="150">
        <v>2038879</v>
      </c>
      <c r="M54" s="139">
        <f>L54*0.25</f>
        <v>509719.75</v>
      </c>
      <c r="N54" s="14"/>
      <c r="O54" s="14" t="s">
        <v>1023</v>
      </c>
      <c r="P54" s="90" t="s">
        <v>1019</v>
      </c>
    </row>
    <row r="55" spans="1:20" ht="30" x14ac:dyDescent="0.25">
      <c r="A55" s="14" t="s">
        <v>1106</v>
      </c>
      <c r="B55" s="14"/>
      <c r="C55" s="14">
        <v>7</v>
      </c>
      <c r="D55" s="14" t="s">
        <v>1002</v>
      </c>
      <c r="E55" s="14" t="s">
        <v>76</v>
      </c>
      <c r="F55" s="14" t="s">
        <v>1105</v>
      </c>
      <c r="G55" s="18">
        <v>2020</v>
      </c>
      <c r="H55" s="18">
        <v>2022</v>
      </c>
      <c r="I55" s="14"/>
      <c r="J55" s="14"/>
      <c r="K55" s="14"/>
      <c r="L55" s="150">
        <v>6280285</v>
      </c>
      <c r="M55" s="139">
        <f>L55*0.44</f>
        <v>2763325.4</v>
      </c>
      <c r="N55" s="14"/>
      <c r="O55" s="14" t="s">
        <v>1023</v>
      </c>
      <c r="P55" s="90" t="s">
        <v>1107</v>
      </c>
    </row>
    <row r="56" spans="1:20" ht="45" x14ac:dyDescent="0.25">
      <c r="A56" s="14" t="s">
        <v>1108</v>
      </c>
      <c r="B56" s="14"/>
      <c r="C56" s="14">
        <v>7</v>
      </c>
      <c r="D56" s="14" t="s">
        <v>1002</v>
      </c>
      <c r="E56" s="14" t="s">
        <v>76</v>
      </c>
      <c r="F56" s="14" t="s">
        <v>1062</v>
      </c>
      <c r="G56" s="18">
        <v>2019</v>
      </c>
      <c r="H56" s="18">
        <v>2019</v>
      </c>
      <c r="I56" s="14"/>
      <c r="J56" s="14"/>
      <c r="K56" s="14"/>
      <c r="L56" s="150">
        <v>12905</v>
      </c>
      <c r="M56" s="139">
        <f>L56*0.5</f>
        <v>6452.5</v>
      </c>
      <c r="N56" s="14"/>
      <c r="O56" s="14" t="s">
        <v>1109</v>
      </c>
      <c r="P56" s="90" t="s">
        <v>1019</v>
      </c>
    </row>
    <row r="57" spans="1:20" ht="30" x14ac:dyDescent="0.25">
      <c r="A57" s="14" t="s">
        <v>1110</v>
      </c>
      <c r="B57" s="14"/>
      <c r="C57" s="14">
        <v>2</v>
      </c>
      <c r="D57" s="14" t="s">
        <v>1002</v>
      </c>
      <c r="E57" s="14" t="s">
        <v>76</v>
      </c>
      <c r="F57" s="14" t="s">
        <v>1111</v>
      </c>
      <c r="G57" s="18">
        <v>2019</v>
      </c>
      <c r="H57" s="18">
        <v>2020</v>
      </c>
      <c r="I57" s="14"/>
      <c r="J57" s="14"/>
      <c r="K57" s="14"/>
      <c r="L57" s="150">
        <v>203034</v>
      </c>
      <c r="M57" s="139">
        <f>L57*0.5</f>
        <v>101517</v>
      </c>
      <c r="N57" s="14"/>
      <c r="O57" s="14" t="s">
        <v>1018</v>
      </c>
      <c r="P57" s="88" t="s">
        <v>1019</v>
      </c>
    </row>
    <row r="58" spans="1:20" ht="60" x14ac:dyDescent="0.25">
      <c r="A58" s="14" t="s">
        <v>1112</v>
      </c>
      <c r="B58" s="14"/>
      <c r="C58" s="14">
        <v>7</v>
      </c>
      <c r="D58" s="14" t="s">
        <v>1002</v>
      </c>
      <c r="E58" s="14" t="s">
        <v>76</v>
      </c>
      <c r="F58" s="14" t="s">
        <v>1062</v>
      </c>
      <c r="G58" s="18">
        <v>2018</v>
      </c>
      <c r="H58" s="18">
        <v>2019</v>
      </c>
      <c r="I58" s="14"/>
      <c r="J58" s="14"/>
      <c r="K58" s="14"/>
      <c r="L58" s="150">
        <v>264677</v>
      </c>
      <c r="M58" s="139">
        <f>L58*0.97</f>
        <v>256736.69</v>
      </c>
      <c r="N58" s="14"/>
      <c r="O58" s="14" t="s">
        <v>1059</v>
      </c>
      <c r="P58" s="88" t="s">
        <v>1019</v>
      </c>
    </row>
    <row r="59" spans="1:20" x14ac:dyDescent="0.25">
      <c r="A59" t="s">
        <v>1113</v>
      </c>
      <c r="D59" s="14" t="s">
        <v>1002</v>
      </c>
      <c r="E59" s="14" t="s">
        <v>76</v>
      </c>
      <c r="F59" t="s">
        <v>1017</v>
      </c>
      <c r="G59" s="134">
        <v>44562</v>
      </c>
      <c r="H59" s="134">
        <v>46022</v>
      </c>
      <c r="L59" s="133">
        <f t="shared" ref="L59:L90" si="0">R59/$AA$95</f>
        <v>1126241.8994413407</v>
      </c>
      <c r="M59" s="133">
        <f t="shared" ref="M59:M90" si="1">S59/$AA$95</f>
        <v>1126241.8994413407</v>
      </c>
      <c r="P59" t="s">
        <v>1114</v>
      </c>
      <c r="R59">
        <v>12095838</v>
      </c>
      <c r="S59" s="28">
        <v>12095838</v>
      </c>
      <c r="T59" t="s">
        <v>1115</v>
      </c>
    </row>
    <row r="60" spans="1:20" x14ac:dyDescent="0.25">
      <c r="A60" t="s">
        <v>1116</v>
      </c>
      <c r="D60" s="14" t="s">
        <v>1002</v>
      </c>
      <c r="E60" s="14" t="s">
        <v>76</v>
      </c>
      <c r="F60" t="s">
        <v>1062</v>
      </c>
      <c r="G60" s="134">
        <v>44562</v>
      </c>
      <c r="H60" s="134">
        <v>45504</v>
      </c>
      <c r="L60" s="133">
        <f t="shared" si="0"/>
        <v>553408.47299813782</v>
      </c>
      <c r="M60" s="133">
        <f t="shared" si="1"/>
        <v>519888.91992551211</v>
      </c>
      <c r="P60" t="s">
        <v>1117</v>
      </c>
      <c r="R60">
        <v>5943607</v>
      </c>
      <c r="S60" s="28">
        <v>5583607</v>
      </c>
    </row>
    <row r="61" spans="1:20" x14ac:dyDescent="0.25">
      <c r="A61" t="s">
        <v>1118</v>
      </c>
      <c r="D61" s="14" t="s">
        <v>1002</v>
      </c>
      <c r="E61" s="14" t="s">
        <v>76</v>
      </c>
      <c r="F61" t="s">
        <v>1053</v>
      </c>
      <c r="G61" s="134">
        <v>44562</v>
      </c>
      <c r="H61" s="134">
        <v>45657</v>
      </c>
      <c r="L61" s="133">
        <f t="shared" si="0"/>
        <v>584534.45065176906</v>
      </c>
      <c r="M61" s="133">
        <f t="shared" si="1"/>
        <v>458333.33333333331</v>
      </c>
      <c r="P61" t="s">
        <v>1119</v>
      </c>
      <c r="R61">
        <v>6277900</v>
      </c>
      <c r="S61" s="28">
        <v>4922500</v>
      </c>
    </row>
    <row r="62" spans="1:20" x14ac:dyDescent="0.25">
      <c r="A62" t="s">
        <v>1120</v>
      </c>
      <c r="D62" s="14" t="s">
        <v>1002</v>
      </c>
      <c r="E62" s="14" t="s">
        <v>76</v>
      </c>
      <c r="F62" t="s">
        <v>1121</v>
      </c>
      <c r="G62" s="134">
        <v>44562</v>
      </c>
      <c r="H62" s="134">
        <v>46022</v>
      </c>
      <c r="L62" s="133">
        <f t="shared" si="0"/>
        <v>348291.43389199255</v>
      </c>
      <c r="M62" s="133">
        <f t="shared" si="1"/>
        <v>348291.43389199255</v>
      </c>
      <c r="P62" t="s">
        <v>1122</v>
      </c>
      <c r="R62">
        <v>3740650</v>
      </c>
      <c r="S62" s="28">
        <v>3740650</v>
      </c>
    </row>
    <row r="63" spans="1:20" x14ac:dyDescent="0.25">
      <c r="A63" t="s">
        <v>1123</v>
      </c>
      <c r="D63" s="14" t="s">
        <v>1002</v>
      </c>
      <c r="E63" s="14" t="s">
        <v>76</v>
      </c>
      <c r="F63" t="s">
        <v>1121</v>
      </c>
      <c r="G63" s="134">
        <v>44562</v>
      </c>
      <c r="H63" s="134">
        <v>46022</v>
      </c>
      <c r="L63" s="133">
        <f t="shared" si="0"/>
        <v>75884.543761638735</v>
      </c>
      <c r="M63" s="133">
        <f t="shared" si="1"/>
        <v>75884.543761638735</v>
      </c>
      <c r="P63" t="s">
        <v>1124</v>
      </c>
      <c r="R63">
        <v>815000</v>
      </c>
      <c r="S63" s="28">
        <v>815000</v>
      </c>
    </row>
    <row r="64" spans="1:20" x14ac:dyDescent="0.25">
      <c r="A64" t="s">
        <v>1125</v>
      </c>
      <c r="D64" s="14" t="s">
        <v>1002</v>
      </c>
      <c r="E64" s="14" t="s">
        <v>76</v>
      </c>
      <c r="F64" t="s">
        <v>1037</v>
      </c>
      <c r="G64" s="134">
        <v>44743</v>
      </c>
      <c r="H64" s="134">
        <v>45657</v>
      </c>
      <c r="L64" s="133">
        <f t="shared" si="0"/>
        <v>406424.5810055866</v>
      </c>
      <c r="M64" s="133">
        <f t="shared" si="1"/>
        <v>406424.5810055866</v>
      </c>
      <c r="P64" t="s">
        <v>1126</v>
      </c>
      <c r="R64">
        <v>4365000</v>
      </c>
      <c r="S64" s="28">
        <v>4365000</v>
      </c>
    </row>
    <row r="65" spans="1:19" x14ac:dyDescent="0.25">
      <c r="A65" t="s">
        <v>1127</v>
      </c>
      <c r="D65" s="14" t="s">
        <v>1002</v>
      </c>
      <c r="E65" s="14" t="s">
        <v>76</v>
      </c>
      <c r="F65" t="s">
        <v>1088</v>
      </c>
      <c r="G65" s="134">
        <v>44562</v>
      </c>
      <c r="H65" s="134">
        <v>46022</v>
      </c>
      <c r="L65" s="133">
        <f t="shared" si="0"/>
        <v>911268.15642458096</v>
      </c>
      <c r="M65" s="133">
        <f t="shared" si="1"/>
        <v>585893.85474860331</v>
      </c>
      <c r="P65" t="s">
        <v>1128</v>
      </c>
      <c r="R65">
        <v>9787020</v>
      </c>
      <c r="S65" s="28">
        <v>6292500</v>
      </c>
    </row>
    <row r="66" spans="1:19" x14ac:dyDescent="0.25">
      <c r="A66" t="s">
        <v>1129</v>
      </c>
      <c r="D66" s="14" t="s">
        <v>1002</v>
      </c>
      <c r="E66" s="14" t="s">
        <v>76</v>
      </c>
      <c r="F66" t="s">
        <v>1029</v>
      </c>
      <c r="G66" s="134">
        <v>44562</v>
      </c>
      <c r="H66" s="134">
        <v>46022</v>
      </c>
      <c r="L66" s="133">
        <f t="shared" si="0"/>
        <v>546143.48230912478</v>
      </c>
      <c r="M66" s="133">
        <f t="shared" si="1"/>
        <v>465485.47486033518</v>
      </c>
      <c r="P66" t="s">
        <v>1130</v>
      </c>
      <c r="R66">
        <v>5865581</v>
      </c>
      <c r="S66" s="28">
        <v>4999314</v>
      </c>
    </row>
    <row r="67" spans="1:19" x14ac:dyDescent="0.25">
      <c r="A67" t="s">
        <v>1131</v>
      </c>
      <c r="D67" s="14" t="s">
        <v>1002</v>
      </c>
      <c r="E67" s="14" t="s">
        <v>76</v>
      </c>
      <c r="F67" t="s">
        <v>1037</v>
      </c>
      <c r="G67" s="134">
        <v>44562</v>
      </c>
      <c r="H67" s="134">
        <v>46022</v>
      </c>
      <c r="L67" s="133">
        <f t="shared" si="0"/>
        <v>792364.99068901304</v>
      </c>
      <c r="M67" s="133">
        <f t="shared" si="1"/>
        <v>691806.33147113596</v>
      </c>
      <c r="P67" t="s">
        <v>1132</v>
      </c>
      <c r="R67">
        <v>8510000</v>
      </c>
      <c r="S67" s="28">
        <v>7430000</v>
      </c>
    </row>
    <row r="68" spans="1:19" x14ac:dyDescent="0.25">
      <c r="A68" t="s">
        <v>1133</v>
      </c>
      <c r="D68" s="14" t="s">
        <v>1002</v>
      </c>
      <c r="E68" s="14" t="s">
        <v>76</v>
      </c>
      <c r="F68" t="s">
        <v>1053</v>
      </c>
      <c r="G68" s="134">
        <v>44562</v>
      </c>
      <c r="H68" s="134">
        <v>45657</v>
      </c>
      <c r="L68" s="133">
        <f t="shared" si="0"/>
        <v>458367.31843575416</v>
      </c>
      <c r="M68" s="133">
        <f t="shared" si="1"/>
        <v>434149.4413407821</v>
      </c>
      <c r="P68" t="s">
        <v>1134</v>
      </c>
      <c r="R68">
        <v>4922865</v>
      </c>
      <c r="S68" s="28">
        <v>4662765</v>
      </c>
    </row>
    <row r="69" spans="1:19" x14ac:dyDescent="0.25">
      <c r="A69" t="s">
        <v>1135</v>
      </c>
      <c r="D69" s="14" t="s">
        <v>1002</v>
      </c>
      <c r="E69" s="14" t="s">
        <v>76</v>
      </c>
      <c r="F69" t="s">
        <v>1088</v>
      </c>
      <c r="G69" s="134">
        <v>44562</v>
      </c>
      <c r="H69" s="134">
        <v>45657</v>
      </c>
      <c r="L69" s="133">
        <f t="shared" si="0"/>
        <v>355344.97206703911</v>
      </c>
      <c r="M69" s="133">
        <f t="shared" si="1"/>
        <v>293892.45810055867</v>
      </c>
      <c r="P69" t="s">
        <v>1136</v>
      </c>
      <c r="R69">
        <v>3816405</v>
      </c>
      <c r="S69" s="28">
        <v>3156405</v>
      </c>
    </row>
    <row r="70" spans="1:19" x14ac:dyDescent="0.25">
      <c r="A70" t="s">
        <v>1137</v>
      </c>
      <c r="D70" s="14" t="s">
        <v>1002</v>
      </c>
      <c r="E70" s="14" t="s">
        <v>76</v>
      </c>
      <c r="F70" t="s">
        <v>1138</v>
      </c>
      <c r="G70" s="134">
        <v>44564</v>
      </c>
      <c r="H70" s="134">
        <v>45077</v>
      </c>
      <c r="L70" s="133">
        <f t="shared" si="0"/>
        <v>52381.843575418992</v>
      </c>
      <c r="M70" s="133">
        <f t="shared" si="1"/>
        <v>52381.843575418992</v>
      </c>
      <c r="P70" t="s">
        <v>1139</v>
      </c>
      <c r="R70">
        <v>562581</v>
      </c>
      <c r="S70" s="28">
        <v>562581</v>
      </c>
    </row>
    <row r="71" spans="1:19" x14ac:dyDescent="0.25">
      <c r="A71" t="s">
        <v>1140</v>
      </c>
      <c r="D71" s="14" t="s">
        <v>1002</v>
      </c>
      <c r="E71" s="14" t="s">
        <v>76</v>
      </c>
      <c r="F71" t="s">
        <v>1141</v>
      </c>
      <c r="G71" s="134">
        <v>44562</v>
      </c>
      <c r="H71" s="134">
        <v>46022</v>
      </c>
      <c r="L71" s="133">
        <f t="shared" si="0"/>
        <v>562886.87150837993</v>
      </c>
      <c r="M71" s="133">
        <f t="shared" si="1"/>
        <v>562886.87150837993</v>
      </c>
      <c r="P71" t="s">
        <v>1142</v>
      </c>
      <c r="R71">
        <v>6045405</v>
      </c>
      <c r="S71" s="28">
        <v>6045405</v>
      </c>
    </row>
    <row r="72" spans="1:19" x14ac:dyDescent="0.25">
      <c r="A72" t="s">
        <v>1143</v>
      </c>
      <c r="D72" s="14" t="s">
        <v>1002</v>
      </c>
      <c r="E72" s="14" t="s">
        <v>76</v>
      </c>
      <c r="F72" t="s">
        <v>1088</v>
      </c>
      <c r="G72" s="134">
        <v>44562</v>
      </c>
      <c r="H72" s="134">
        <v>45473</v>
      </c>
      <c r="L72" s="133">
        <f t="shared" si="0"/>
        <v>586592.17877094971</v>
      </c>
      <c r="M72" s="133">
        <f t="shared" si="1"/>
        <v>459497.2067039106</v>
      </c>
      <c r="P72" t="s">
        <v>1144</v>
      </c>
      <c r="R72">
        <v>6300000</v>
      </c>
      <c r="S72" s="28">
        <v>4935000</v>
      </c>
    </row>
    <row r="73" spans="1:19" x14ac:dyDescent="0.25">
      <c r="A73" t="s">
        <v>1145</v>
      </c>
      <c r="D73" s="14" t="s">
        <v>1002</v>
      </c>
      <c r="E73" s="14" t="s">
        <v>76</v>
      </c>
      <c r="F73" t="s">
        <v>1121</v>
      </c>
      <c r="G73" s="134">
        <v>44571</v>
      </c>
      <c r="H73" s="134">
        <v>45657</v>
      </c>
      <c r="L73" s="133">
        <f t="shared" si="0"/>
        <v>659836.49906890129</v>
      </c>
      <c r="M73" s="133">
        <f t="shared" si="1"/>
        <v>336921.50837988826</v>
      </c>
      <c r="P73" t="s">
        <v>1146</v>
      </c>
      <c r="R73">
        <v>7086644</v>
      </c>
      <c r="S73" s="28">
        <v>3618537</v>
      </c>
    </row>
    <row r="74" spans="1:19" x14ac:dyDescent="0.25">
      <c r="A74" t="s">
        <v>1147</v>
      </c>
      <c r="D74" s="14" t="s">
        <v>1002</v>
      </c>
      <c r="E74" s="14" t="s">
        <v>76</v>
      </c>
      <c r="F74" t="s">
        <v>1029</v>
      </c>
      <c r="G74" s="134">
        <v>44562</v>
      </c>
      <c r="H74" s="134">
        <v>46022</v>
      </c>
      <c r="L74" s="133">
        <f t="shared" si="0"/>
        <v>529143.38919925515</v>
      </c>
      <c r="M74" s="133">
        <f t="shared" si="1"/>
        <v>529143.38919925515</v>
      </c>
      <c r="P74" t="s">
        <v>1148</v>
      </c>
      <c r="R74">
        <v>5683000</v>
      </c>
      <c r="S74" s="28">
        <v>5683000</v>
      </c>
    </row>
    <row r="75" spans="1:19" x14ac:dyDescent="0.25">
      <c r="A75" t="s">
        <v>1149</v>
      </c>
      <c r="D75" s="14" t="s">
        <v>1002</v>
      </c>
      <c r="E75" s="14" t="s">
        <v>76</v>
      </c>
      <c r="F75" t="s">
        <v>1037</v>
      </c>
      <c r="G75" s="134">
        <v>44564</v>
      </c>
      <c r="H75" s="134">
        <v>45656</v>
      </c>
      <c r="L75" s="133">
        <f t="shared" si="0"/>
        <v>747206.70391061448</v>
      </c>
      <c r="M75" s="133">
        <f t="shared" si="1"/>
        <v>437150.8379888268</v>
      </c>
      <c r="P75" t="s">
        <v>1150</v>
      </c>
      <c r="R75">
        <v>8025000</v>
      </c>
      <c r="S75" s="28">
        <v>4695000</v>
      </c>
    </row>
    <row r="76" spans="1:19" x14ac:dyDescent="0.25">
      <c r="A76" t="s">
        <v>1151</v>
      </c>
      <c r="D76" s="14" t="s">
        <v>1002</v>
      </c>
      <c r="E76" s="14" t="s">
        <v>76</v>
      </c>
      <c r="F76" t="s">
        <v>1152</v>
      </c>
      <c r="G76" s="134">
        <v>44564</v>
      </c>
      <c r="H76" s="134">
        <v>45291</v>
      </c>
      <c r="L76" s="133">
        <f t="shared" si="0"/>
        <v>553072.62569832406</v>
      </c>
      <c r="M76" s="133">
        <f t="shared" si="1"/>
        <v>138221.60148975792</v>
      </c>
      <c r="P76" t="s">
        <v>1153</v>
      </c>
      <c r="R76">
        <v>5940000</v>
      </c>
      <c r="S76" s="28">
        <v>1484500</v>
      </c>
    </row>
    <row r="77" spans="1:19" x14ac:dyDescent="0.25">
      <c r="A77" t="s">
        <v>1154</v>
      </c>
      <c r="D77" s="14" t="s">
        <v>1002</v>
      </c>
      <c r="E77" s="14" t="s">
        <v>76</v>
      </c>
      <c r="F77" t="s">
        <v>1088</v>
      </c>
      <c r="G77" s="134">
        <v>44579</v>
      </c>
      <c r="H77" s="134">
        <v>45462</v>
      </c>
      <c r="L77" s="133">
        <f t="shared" si="0"/>
        <v>451879.23649906891</v>
      </c>
      <c r="M77" s="133">
        <f t="shared" si="1"/>
        <v>400240.50279329607</v>
      </c>
      <c r="P77" t="s">
        <v>1155</v>
      </c>
      <c r="R77">
        <v>4853183</v>
      </c>
      <c r="S77" s="28">
        <v>4298583</v>
      </c>
    </row>
    <row r="78" spans="1:19" x14ac:dyDescent="0.25">
      <c r="A78" t="s">
        <v>1156</v>
      </c>
      <c r="D78" s="14" t="s">
        <v>1002</v>
      </c>
      <c r="E78" s="14" t="s">
        <v>76</v>
      </c>
      <c r="F78" t="s">
        <v>1017</v>
      </c>
      <c r="G78" s="134">
        <v>44562</v>
      </c>
      <c r="H78" s="134">
        <v>45657</v>
      </c>
      <c r="L78" s="133">
        <f t="shared" si="0"/>
        <v>695262.47672253253</v>
      </c>
      <c r="M78" s="133">
        <f t="shared" si="1"/>
        <v>681295.99627560517</v>
      </c>
      <c r="P78" t="s">
        <v>1157</v>
      </c>
      <c r="R78">
        <v>7467119</v>
      </c>
      <c r="S78" s="28">
        <v>7317119</v>
      </c>
    </row>
    <row r="79" spans="1:19" x14ac:dyDescent="0.25">
      <c r="A79" t="s">
        <v>1158</v>
      </c>
      <c r="D79" s="14" t="s">
        <v>1002</v>
      </c>
      <c r="E79" s="14" t="s">
        <v>76</v>
      </c>
      <c r="F79" t="s">
        <v>1088</v>
      </c>
      <c r="G79" s="134">
        <v>44564</v>
      </c>
      <c r="H79" s="134">
        <v>44926</v>
      </c>
      <c r="L79" s="133">
        <f t="shared" si="0"/>
        <v>104953.07262569832</v>
      </c>
      <c r="M79" s="133">
        <f t="shared" si="1"/>
        <v>83109.497206703905</v>
      </c>
      <c r="P79" t="s">
        <v>1159</v>
      </c>
      <c r="R79">
        <v>1127196</v>
      </c>
      <c r="S79" s="28">
        <v>892596</v>
      </c>
    </row>
    <row r="80" spans="1:19" x14ac:dyDescent="0.25">
      <c r="A80" t="s">
        <v>1160</v>
      </c>
      <c r="D80" s="14" t="s">
        <v>1002</v>
      </c>
      <c r="E80" s="14" t="s">
        <v>76</v>
      </c>
      <c r="F80" t="s">
        <v>1161</v>
      </c>
      <c r="G80" s="134">
        <v>44564</v>
      </c>
      <c r="H80" s="134">
        <v>45657</v>
      </c>
      <c r="L80" s="133">
        <f t="shared" si="0"/>
        <v>463836.12662942271</v>
      </c>
      <c r="M80" s="133">
        <f t="shared" si="1"/>
        <v>231918.06331471135</v>
      </c>
      <c r="P80" t="s">
        <v>1162</v>
      </c>
      <c r="R80">
        <v>4981600</v>
      </c>
      <c r="S80" s="28">
        <v>2490800</v>
      </c>
    </row>
    <row r="81" spans="1:27" x14ac:dyDescent="0.25">
      <c r="A81" t="s">
        <v>1163</v>
      </c>
      <c r="D81" s="14" t="s">
        <v>1002</v>
      </c>
      <c r="E81" s="14" t="s">
        <v>76</v>
      </c>
      <c r="F81" t="s">
        <v>1164</v>
      </c>
      <c r="G81" s="134">
        <v>44562</v>
      </c>
      <c r="H81" s="134">
        <v>45657</v>
      </c>
      <c r="L81" s="133">
        <f t="shared" si="0"/>
        <v>532122.90502793295</v>
      </c>
      <c r="M81" s="133">
        <f t="shared" si="1"/>
        <v>266061.45251396648</v>
      </c>
      <c r="P81" t="s">
        <v>1165</v>
      </c>
      <c r="R81">
        <v>5715000</v>
      </c>
      <c r="S81" s="28">
        <v>2857500</v>
      </c>
    </row>
    <row r="82" spans="1:27" x14ac:dyDescent="0.25">
      <c r="A82" t="s">
        <v>1166</v>
      </c>
      <c r="D82" s="14" t="s">
        <v>1002</v>
      </c>
      <c r="E82" s="14" t="s">
        <v>76</v>
      </c>
      <c r="F82" t="s">
        <v>1167</v>
      </c>
      <c r="G82" s="134">
        <v>44592</v>
      </c>
      <c r="H82" s="134">
        <v>45657</v>
      </c>
      <c r="L82" s="133">
        <f t="shared" si="0"/>
        <v>372439.47858472995</v>
      </c>
      <c r="M82" s="133">
        <f t="shared" si="1"/>
        <v>186219.73929236497</v>
      </c>
      <c r="P82" t="s">
        <v>1168</v>
      </c>
      <c r="R82">
        <v>4000000</v>
      </c>
      <c r="S82" s="28">
        <v>2000000</v>
      </c>
    </row>
    <row r="83" spans="1:27" x14ac:dyDescent="0.25">
      <c r="A83" t="s">
        <v>1169</v>
      </c>
      <c r="D83" s="14" t="s">
        <v>1002</v>
      </c>
      <c r="E83" s="14" t="s">
        <v>76</v>
      </c>
      <c r="F83" t="s">
        <v>1170</v>
      </c>
      <c r="G83" s="134">
        <v>44713</v>
      </c>
      <c r="H83" s="134">
        <v>45808</v>
      </c>
      <c r="L83" s="133">
        <f t="shared" si="0"/>
        <v>289463.68715083797</v>
      </c>
      <c r="M83" s="133">
        <f t="shared" si="1"/>
        <v>27932.960893854746</v>
      </c>
      <c r="P83" t="s">
        <v>1171</v>
      </c>
      <c r="R83">
        <v>3108840</v>
      </c>
      <c r="S83" s="28">
        <v>300000</v>
      </c>
    </row>
    <row r="84" spans="1:27" x14ac:dyDescent="0.25">
      <c r="A84" t="s">
        <v>1172</v>
      </c>
      <c r="D84" s="14" t="s">
        <v>1002</v>
      </c>
      <c r="E84" s="14" t="s">
        <v>76</v>
      </c>
      <c r="F84" t="s">
        <v>1170</v>
      </c>
      <c r="G84" s="134">
        <v>44562</v>
      </c>
      <c r="H84" s="134">
        <v>45657</v>
      </c>
      <c r="L84" s="133">
        <f t="shared" si="0"/>
        <v>418254.18994413409</v>
      </c>
      <c r="M84" s="133">
        <f t="shared" si="1"/>
        <v>139664.80446927375</v>
      </c>
      <c r="P84" t="s">
        <v>1173</v>
      </c>
      <c r="R84">
        <v>4492050</v>
      </c>
      <c r="S84" s="28">
        <v>1500000</v>
      </c>
    </row>
    <row r="85" spans="1:27" x14ac:dyDescent="0.25">
      <c r="A85" t="s">
        <v>1174</v>
      </c>
      <c r="D85" s="14" t="s">
        <v>1002</v>
      </c>
      <c r="E85" s="14" t="s">
        <v>76</v>
      </c>
      <c r="F85" t="s">
        <v>1175</v>
      </c>
      <c r="G85" s="134">
        <v>44774</v>
      </c>
      <c r="H85" s="134">
        <v>44957</v>
      </c>
      <c r="L85" s="133">
        <f t="shared" si="0"/>
        <v>31284.916201117318</v>
      </c>
      <c r="M85" s="133">
        <f t="shared" si="1"/>
        <v>21899.441340782123</v>
      </c>
      <c r="P85" t="s">
        <v>1176</v>
      </c>
      <c r="R85">
        <v>336000</v>
      </c>
      <c r="S85" s="28">
        <v>235200</v>
      </c>
    </row>
    <row r="86" spans="1:27" x14ac:dyDescent="0.25">
      <c r="A86" t="s">
        <v>1177</v>
      </c>
      <c r="D86" s="14" t="s">
        <v>1002</v>
      </c>
      <c r="E86" s="14" t="s">
        <v>76</v>
      </c>
      <c r="F86" t="s">
        <v>1029</v>
      </c>
      <c r="G86" s="134">
        <v>44880</v>
      </c>
      <c r="H86" s="134">
        <v>46143</v>
      </c>
      <c r="L86" s="133">
        <f t="shared" si="0"/>
        <v>624310.05586592178</v>
      </c>
      <c r="M86" s="133">
        <f t="shared" si="1"/>
        <v>459554.28305400372</v>
      </c>
      <c r="P86" t="s">
        <v>1178</v>
      </c>
      <c r="R86">
        <v>6705090</v>
      </c>
      <c r="S86" s="28">
        <v>4935613</v>
      </c>
    </row>
    <row r="87" spans="1:27" x14ac:dyDescent="0.25">
      <c r="A87" t="s">
        <v>1179</v>
      </c>
      <c r="D87" s="14" t="s">
        <v>1002</v>
      </c>
      <c r="E87" s="14" t="s">
        <v>76</v>
      </c>
      <c r="F87" t="s">
        <v>1121</v>
      </c>
      <c r="G87" s="134">
        <v>44927</v>
      </c>
      <c r="H87" s="134">
        <v>46022</v>
      </c>
      <c r="L87" s="133">
        <f t="shared" si="0"/>
        <v>124100.83798882681</v>
      </c>
      <c r="M87" s="133">
        <f t="shared" si="1"/>
        <v>124100.83798882681</v>
      </c>
      <c r="P87" t="s">
        <v>1180</v>
      </c>
      <c r="R87">
        <v>1332843</v>
      </c>
      <c r="S87" s="28">
        <v>1332843</v>
      </c>
    </row>
    <row r="88" spans="1:27" x14ac:dyDescent="0.25">
      <c r="A88" t="s">
        <v>1181</v>
      </c>
      <c r="D88" s="14" t="s">
        <v>1002</v>
      </c>
      <c r="E88" s="14" t="s">
        <v>76</v>
      </c>
      <c r="F88" t="s">
        <v>1088</v>
      </c>
      <c r="G88" s="134">
        <v>44866</v>
      </c>
      <c r="H88" s="134">
        <v>45960</v>
      </c>
      <c r="L88" s="133">
        <f t="shared" si="0"/>
        <v>510971.88081936684</v>
      </c>
      <c r="M88" s="133">
        <f t="shared" si="1"/>
        <v>400614.3389199255</v>
      </c>
      <c r="P88" t="s">
        <v>1182</v>
      </c>
      <c r="R88">
        <v>5487838</v>
      </c>
      <c r="S88" s="28">
        <v>4302598</v>
      </c>
    </row>
    <row r="89" spans="1:27" x14ac:dyDescent="0.25">
      <c r="A89" t="s">
        <v>1183</v>
      </c>
      <c r="D89" s="14" t="s">
        <v>1002</v>
      </c>
      <c r="E89" s="14" t="s">
        <v>76</v>
      </c>
      <c r="F89" t="s">
        <v>1053</v>
      </c>
      <c r="G89" s="134">
        <v>44927</v>
      </c>
      <c r="H89" s="134">
        <v>46022</v>
      </c>
      <c r="L89" s="133">
        <f t="shared" si="0"/>
        <v>1016294.1340782123</v>
      </c>
      <c r="M89" s="133">
        <f t="shared" si="1"/>
        <v>928305.30726256978</v>
      </c>
      <c r="P89" t="s">
        <v>1184</v>
      </c>
      <c r="R89">
        <v>10914999</v>
      </c>
      <c r="S89" s="28">
        <v>9969999</v>
      </c>
      <c r="AA89" t="s">
        <v>1185</v>
      </c>
    </row>
    <row r="90" spans="1:27" ht="15.75" thickBot="1" x14ac:dyDescent="0.3">
      <c r="A90" t="s">
        <v>1186</v>
      </c>
      <c r="D90" s="14" t="s">
        <v>1002</v>
      </c>
      <c r="E90" s="14" t="s">
        <v>76</v>
      </c>
      <c r="F90" t="s">
        <v>1062</v>
      </c>
      <c r="G90" s="134">
        <v>44866</v>
      </c>
      <c r="H90" s="134">
        <v>46022</v>
      </c>
      <c r="L90" s="133">
        <f t="shared" si="0"/>
        <v>873808.56610800745</v>
      </c>
      <c r="M90" s="133">
        <f t="shared" si="1"/>
        <v>765614.89757914341</v>
      </c>
      <c r="P90" t="s">
        <v>1187</v>
      </c>
      <c r="R90">
        <v>9384704</v>
      </c>
      <c r="S90" s="28">
        <v>8222704</v>
      </c>
      <c r="AA90" s="138">
        <v>10.4834</v>
      </c>
    </row>
    <row r="91" spans="1:27" ht="15.75" thickBot="1" x14ac:dyDescent="0.3">
      <c r="A91" t="s">
        <v>1188</v>
      </c>
      <c r="D91" s="14" t="s">
        <v>1002</v>
      </c>
      <c r="E91" s="14" t="s">
        <v>76</v>
      </c>
      <c r="F91" t="s">
        <v>1037</v>
      </c>
      <c r="G91" s="134">
        <v>44866</v>
      </c>
      <c r="H91" s="134">
        <v>45777</v>
      </c>
      <c r="L91" s="133">
        <f t="shared" ref="L91:L118" si="2">R91/$AA$95</f>
        <v>491809.12476722529</v>
      </c>
      <c r="M91" s="133">
        <f t="shared" ref="M91:M118" si="3">S91/$AA$95</f>
        <v>471627.56052141526</v>
      </c>
      <c r="P91" t="s">
        <v>1189</v>
      </c>
      <c r="R91">
        <v>5282030</v>
      </c>
      <c r="S91" s="28">
        <v>5065280</v>
      </c>
      <c r="AA91" s="138">
        <v>10.4739</v>
      </c>
    </row>
    <row r="92" spans="1:27" ht="15.75" thickBot="1" x14ac:dyDescent="0.3">
      <c r="A92" t="s">
        <v>1190</v>
      </c>
      <c r="D92" s="14" t="s">
        <v>1002</v>
      </c>
      <c r="E92" s="14" t="s">
        <v>76</v>
      </c>
      <c r="F92" t="s">
        <v>1029</v>
      </c>
      <c r="G92" s="134">
        <v>44927</v>
      </c>
      <c r="H92" s="134">
        <v>46022</v>
      </c>
      <c r="L92" s="133">
        <f t="shared" si="2"/>
        <v>694529.32960893854</v>
      </c>
      <c r="M92" s="133">
        <f t="shared" si="3"/>
        <v>470536.12662942271</v>
      </c>
      <c r="P92" t="s">
        <v>1191</v>
      </c>
      <c r="R92">
        <v>7459245</v>
      </c>
      <c r="S92" s="28">
        <v>5053558</v>
      </c>
      <c r="AA92" s="138">
        <v>10.6211</v>
      </c>
    </row>
    <row r="93" spans="1:27" ht="15.75" thickBot="1" x14ac:dyDescent="0.3">
      <c r="A93" t="s">
        <v>1192</v>
      </c>
      <c r="D93" s="14" t="s">
        <v>1002</v>
      </c>
      <c r="E93" s="14" t="s">
        <v>76</v>
      </c>
      <c r="F93" t="s">
        <v>1037</v>
      </c>
      <c r="G93" s="134">
        <v>44866</v>
      </c>
      <c r="H93" s="134">
        <v>45351</v>
      </c>
      <c r="L93" s="133">
        <f t="shared" si="2"/>
        <v>143412.47672253259</v>
      </c>
      <c r="M93" s="133">
        <f t="shared" si="3"/>
        <v>71706.238361266296</v>
      </c>
      <c r="P93" t="s">
        <v>1193</v>
      </c>
      <c r="R93">
        <v>1540250</v>
      </c>
      <c r="S93" s="28">
        <v>770125</v>
      </c>
      <c r="AA93" s="138">
        <v>10.9343</v>
      </c>
    </row>
    <row r="94" spans="1:27" x14ac:dyDescent="0.25">
      <c r="A94" t="s">
        <v>1194</v>
      </c>
      <c r="D94" s="14" t="s">
        <v>1002</v>
      </c>
      <c r="E94" s="14" t="s">
        <v>76</v>
      </c>
      <c r="F94" t="s">
        <v>1088</v>
      </c>
      <c r="G94" s="134">
        <v>44927</v>
      </c>
      <c r="H94" s="134">
        <v>46022</v>
      </c>
      <c r="L94" s="133">
        <f t="shared" si="2"/>
        <v>588290.87523277465</v>
      </c>
      <c r="M94" s="133">
        <f t="shared" si="3"/>
        <v>391829.05027932959</v>
      </c>
      <c r="P94" t="s">
        <v>1195</v>
      </c>
      <c r="R94">
        <v>6318244</v>
      </c>
      <c r="S94" s="28">
        <v>4208244</v>
      </c>
      <c r="AA94" s="137">
        <v>11.196899999999999</v>
      </c>
    </row>
    <row r="95" spans="1:27" x14ac:dyDescent="0.25">
      <c r="A95" t="s">
        <v>1196</v>
      </c>
      <c r="D95" s="14" t="s">
        <v>1002</v>
      </c>
      <c r="E95" s="14" t="s">
        <v>76</v>
      </c>
      <c r="F95" t="s">
        <v>1197</v>
      </c>
      <c r="G95" s="134">
        <v>44927</v>
      </c>
      <c r="H95" s="134">
        <v>46022</v>
      </c>
      <c r="L95" s="133">
        <f t="shared" si="2"/>
        <v>700983.79888268153</v>
      </c>
      <c r="M95" s="133">
        <f t="shared" si="3"/>
        <v>659691.89944134082</v>
      </c>
      <c r="P95" t="s">
        <v>1198</v>
      </c>
      <c r="R95">
        <v>7528566</v>
      </c>
      <c r="S95" s="28">
        <v>7085091</v>
      </c>
      <c r="Z95" s="136" t="s">
        <v>1199</v>
      </c>
      <c r="AA95" s="135">
        <v>10.74</v>
      </c>
    </row>
    <row r="96" spans="1:27" x14ac:dyDescent="0.25">
      <c r="A96" t="s">
        <v>1200</v>
      </c>
      <c r="D96" s="14" t="s">
        <v>1002</v>
      </c>
      <c r="E96" s="14" t="s">
        <v>76</v>
      </c>
      <c r="F96" t="s">
        <v>1053</v>
      </c>
      <c r="G96" s="134">
        <v>44866</v>
      </c>
      <c r="H96" s="134">
        <v>45961</v>
      </c>
      <c r="L96" s="133">
        <f t="shared" si="2"/>
        <v>1583325.2327746742</v>
      </c>
      <c r="M96" s="133">
        <f t="shared" si="3"/>
        <v>546360.42830540042</v>
      </c>
      <c r="P96" t="s">
        <v>1201</v>
      </c>
      <c r="R96">
        <v>17004913</v>
      </c>
      <c r="S96" s="28">
        <v>5867911</v>
      </c>
    </row>
    <row r="97" spans="1:19" x14ac:dyDescent="0.25">
      <c r="A97" t="s">
        <v>1202</v>
      </c>
      <c r="D97" s="14" t="s">
        <v>1002</v>
      </c>
      <c r="E97" s="14" t="s">
        <v>76</v>
      </c>
      <c r="F97" t="s">
        <v>1088</v>
      </c>
      <c r="G97" s="134">
        <v>44866</v>
      </c>
      <c r="H97" s="134">
        <v>45989</v>
      </c>
      <c r="L97" s="133">
        <f t="shared" si="2"/>
        <v>379068.5288640596</v>
      </c>
      <c r="M97" s="133">
        <f t="shared" si="3"/>
        <v>379068.5288640596</v>
      </c>
      <c r="P97" t="s">
        <v>1203</v>
      </c>
      <c r="R97">
        <v>4071196</v>
      </c>
      <c r="S97" s="28">
        <v>4071196</v>
      </c>
    </row>
    <row r="98" spans="1:19" x14ac:dyDescent="0.25">
      <c r="A98" t="s">
        <v>1204</v>
      </c>
      <c r="D98" s="14" t="s">
        <v>1002</v>
      </c>
      <c r="E98" s="14" t="s">
        <v>76</v>
      </c>
      <c r="F98" t="s">
        <v>1029</v>
      </c>
      <c r="G98" s="134">
        <v>44928</v>
      </c>
      <c r="H98" s="134">
        <v>46022</v>
      </c>
      <c r="L98" s="133">
        <f t="shared" si="2"/>
        <v>1635017.6908752327</v>
      </c>
      <c r="M98" s="133">
        <f t="shared" si="3"/>
        <v>760428.30540037237</v>
      </c>
      <c r="P98" t="s">
        <v>1205</v>
      </c>
      <c r="R98">
        <v>17560090</v>
      </c>
      <c r="S98" s="28">
        <v>8167000</v>
      </c>
    </row>
    <row r="99" spans="1:19" x14ac:dyDescent="0.25">
      <c r="A99" t="s">
        <v>1206</v>
      </c>
      <c r="D99" s="14" t="s">
        <v>1002</v>
      </c>
      <c r="E99" s="14" t="s">
        <v>76</v>
      </c>
      <c r="F99" t="s">
        <v>1207</v>
      </c>
      <c r="G99" s="134">
        <v>44866</v>
      </c>
      <c r="H99" s="134">
        <v>46022</v>
      </c>
      <c r="L99" s="133">
        <f t="shared" si="2"/>
        <v>510038.73370577279</v>
      </c>
      <c r="M99" s="133">
        <f t="shared" si="3"/>
        <v>496072.25325884542</v>
      </c>
      <c r="P99" t="s">
        <v>1208</v>
      </c>
      <c r="R99">
        <v>5477816</v>
      </c>
      <c r="S99" s="28">
        <v>5327816</v>
      </c>
    </row>
    <row r="100" spans="1:19" x14ac:dyDescent="0.25">
      <c r="A100" t="s">
        <v>1209</v>
      </c>
      <c r="D100" s="14" t="s">
        <v>1002</v>
      </c>
      <c r="E100" s="14" t="s">
        <v>76</v>
      </c>
      <c r="F100" t="s">
        <v>1210</v>
      </c>
      <c r="G100" s="134">
        <v>44927</v>
      </c>
      <c r="H100" s="134">
        <v>45657</v>
      </c>
      <c r="L100" s="133">
        <f t="shared" si="2"/>
        <v>644785.84729981376</v>
      </c>
      <c r="M100" s="133">
        <f t="shared" si="3"/>
        <v>372672.25325884542</v>
      </c>
      <c r="P100" t="s">
        <v>1211</v>
      </c>
      <c r="R100">
        <v>6925000</v>
      </c>
      <c r="S100" s="28">
        <v>4002500</v>
      </c>
    </row>
    <row r="101" spans="1:19" x14ac:dyDescent="0.25">
      <c r="A101" t="s">
        <v>1212</v>
      </c>
      <c r="D101" s="14" t="s">
        <v>1002</v>
      </c>
      <c r="E101" s="14" t="s">
        <v>76</v>
      </c>
      <c r="F101" t="s">
        <v>1037</v>
      </c>
      <c r="G101" s="134">
        <v>44927</v>
      </c>
      <c r="H101" s="134">
        <v>46022</v>
      </c>
      <c r="L101" s="133">
        <f t="shared" si="2"/>
        <v>832029.79515828681</v>
      </c>
      <c r="M101" s="133">
        <f t="shared" si="3"/>
        <v>776163.87337057723</v>
      </c>
      <c r="P101" t="s">
        <v>1213</v>
      </c>
      <c r="R101">
        <v>8936000</v>
      </c>
      <c r="S101" s="28">
        <v>8336000</v>
      </c>
    </row>
    <row r="102" spans="1:19" x14ac:dyDescent="0.25">
      <c r="A102" t="s">
        <v>1214</v>
      </c>
      <c r="D102" s="14" t="s">
        <v>1002</v>
      </c>
      <c r="E102" s="14" t="s">
        <v>76</v>
      </c>
      <c r="F102" t="s">
        <v>1062</v>
      </c>
      <c r="G102" s="134">
        <v>44866</v>
      </c>
      <c r="H102" s="134">
        <v>45961</v>
      </c>
      <c r="L102" s="133">
        <f t="shared" si="2"/>
        <v>540650.09310986963</v>
      </c>
      <c r="M102" s="133">
        <f t="shared" si="3"/>
        <v>498750.65176908753</v>
      </c>
      <c r="P102" t="s">
        <v>1215</v>
      </c>
      <c r="R102">
        <v>5806582</v>
      </c>
      <c r="S102" s="28">
        <v>5356582</v>
      </c>
    </row>
    <row r="103" spans="1:19" x14ac:dyDescent="0.25">
      <c r="A103" t="s">
        <v>1216</v>
      </c>
      <c r="D103" s="14" t="s">
        <v>1002</v>
      </c>
      <c r="E103" s="14" t="s">
        <v>76</v>
      </c>
      <c r="F103" t="s">
        <v>1121</v>
      </c>
      <c r="G103" s="134">
        <v>44928</v>
      </c>
      <c r="H103" s="134">
        <v>45838</v>
      </c>
      <c r="L103" s="133">
        <f t="shared" si="2"/>
        <v>460864.99068901304</v>
      </c>
      <c r="M103" s="133">
        <f t="shared" si="3"/>
        <v>258938.54748603352</v>
      </c>
      <c r="P103" t="s">
        <v>1217</v>
      </c>
      <c r="R103">
        <v>4949690</v>
      </c>
      <c r="S103" s="28">
        <v>2781000</v>
      </c>
    </row>
    <row r="104" spans="1:19" x14ac:dyDescent="0.25">
      <c r="A104" t="s">
        <v>1218</v>
      </c>
      <c r="D104" s="14" t="s">
        <v>1002</v>
      </c>
      <c r="E104" s="14" t="s">
        <v>76</v>
      </c>
      <c r="F104" t="s">
        <v>1072</v>
      </c>
      <c r="G104" s="134">
        <v>44866</v>
      </c>
      <c r="H104" s="134">
        <v>45382</v>
      </c>
      <c r="L104" s="133">
        <f t="shared" si="2"/>
        <v>1619902.7001862198</v>
      </c>
      <c r="M104" s="133">
        <f t="shared" si="3"/>
        <v>785806.33147113596</v>
      </c>
      <c r="P104" t="s">
        <v>1219</v>
      </c>
      <c r="R104">
        <v>17397755</v>
      </c>
      <c r="S104" s="28">
        <v>8439560</v>
      </c>
    </row>
    <row r="105" spans="1:19" x14ac:dyDescent="0.25">
      <c r="A105" t="s">
        <v>1220</v>
      </c>
      <c r="D105" s="14" t="s">
        <v>1002</v>
      </c>
      <c r="E105" s="14" t="s">
        <v>76</v>
      </c>
      <c r="F105" t="s">
        <v>1221</v>
      </c>
      <c r="G105" s="134">
        <v>44805</v>
      </c>
      <c r="H105" s="134">
        <v>45169</v>
      </c>
      <c r="L105" s="133">
        <f t="shared" si="2"/>
        <v>74487.89571694599</v>
      </c>
      <c r="M105" s="133">
        <f t="shared" si="3"/>
        <v>51210.428305400368</v>
      </c>
      <c r="P105" t="s">
        <v>1222</v>
      </c>
      <c r="R105">
        <v>800000</v>
      </c>
      <c r="S105" s="28">
        <v>550000</v>
      </c>
    </row>
    <row r="106" spans="1:19" x14ac:dyDescent="0.25">
      <c r="A106" t="s">
        <v>1223</v>
      </c>
      <c r="D106" s="14" t="s">
        <v>1002</v>
      </c>
      <c r="E106" s="14" t="s">
        <v>76</v>
      </c>
      <c r="F106" t="s">
        <v>1224</v>
      </c>
      <c r="G106" s="134">
        <v>44774</v>
      </c>
      <c r="H106" s="134">
        <v>45138</v>
      </c>
      <c r="L106" s="133">
        <f t="shared" si="2"/>
        <v>130353.8175046555</v>
      </c>
      <c r="M106" s="133">
        <f t="shared" si="3"/>
        <v>90782.122905027936</v>
      </c>
      <c r="P106" t="s">
        <v>1225</v>
      </c>
      <c r="R106">
        <v>1400000</v>
      </c>
      <c r="S106" s="28">
        <v>975000</v>
      </c>
    </row>
    <row r="107" spans="1:19" x14ac:dyDescent="0.25">
      <c r="A107" t="s">
        <v>1226</v>
      </c>
      <c r="D107" s="14" t="s">
        <v>1002</v>
      </c>
      <c r="E107" s="14" t="s">
        <v>76</v>
      </c>
      <c r="F107" t="s">
        <v>1227</v>
      </c>
      <c r="G107" s="134">
        <v>44805</v>
      </c>
      <c r="H107" s="134">
        <v>45169</v>
      </c>
      <c r="L107" s="133">
        <f t="shared" si="2"/>
        <v>138170.39106145251</v>
      </c>
      <c r="M107" s="133">
        <f t="shared" si="3"/>
        <v>84857.076350093106</v>
      </c>
      <c r="P107" t="s">
        <v>1228</v>
      </c>
      <c r="R107">
        <v>1483950</v>
      </c>
      <c r="S107" s="28">
        <v>911365</v>
      </c>
    </row>
    <row r="108" spans="1:19" x14ac:dyDescent="0.25">
      <c r="A108" t="s">
        <v>1229</v>
      </c>
      <c r="D108" s="14" t="s">
        <v>1002</v>
      </c>
      <c r="E108" s="14" t="s">
        <v>76</v>
      </c>
      <c r="F108" t="s">
        <v>1072</v>
      </c>
      <c r="G108" s="134">
        <v>44774</v>
      </c>
      <c r="H108" s="134">
        <v>44986</v>
      </c>
      <c r="L108" s="133">
        <f t="shared" si="2"/>
        <v>121310.52141527002</v>
      </c>
      <c r="M108" s="133">
        <f t="shared" si="3"/>
        <v>69820.763500931091</v>
      </c>
      <c r="P108" t="s">
        <v>1230</v>
      </c>
      <c r="R108">
        <v>1302875</v>
      </c>
      <c r="S108" s="28">
        <v>749875</v>
      </c>
    </row>
    <row r="109" spans="1:19" x14ac:dyDescent="0.25">
      <c r="A109" t="s">
        <v>1231</v>
      </c>
      <c r="D109" s="14" t="s">
        <v>1002</v>
      </c>
      <c r="E109" s="14" t="s">
        <v>76</v>
      </c>
      <c r="F109" t="s">
        <v>1232</v>
      </c>
      <c r="G109" s="134">
        <v>44805</v>
      </c>
      <c r="H109" s="134">
        <v>45169</v>
      </c>
      <c r="L109" s="133">
        <f t="shared" si="2"/>
        <v>93109.869646182487</v>
      </c>
      <c r="M109" s="133">
        <f t="shared" si="3"/>
        <v>65176.908752327749</v>
      </c>
      <c r="P109" t="s">
        <v>1233</v>
      </c>
      <c r="R109">
        <v>1000000</v>
      </c>
      <c r="S109" s="28">
        <v>700000</v>
      </c>
    </row>
    <row r="110" spans="1:19" x14ac:dyDescent="0.25">
      <c r="A110" t="s">
        <v>1234</v>
      </c>
      <c r="D110" s="14" t="s">
        <v>1002</v>
      </c>
      <c r="E110" s="14" t="s">
        <v>76</v>
      </c>
      <c r="F110" t="s">
        <v>1235</v>
      </c>
      <c r="G110" s="134">
        <v>44788</v>
      </c>
      <c r="H110" s="134">
        <v>45016</v>
      </c>
      <c r="L110" s="133">
        <f t="shared" si="2"/>
        <v>149906.8901303538</v>
      </c>
      <c r="M110" s="133">
        <f t="shared" si="3"/>
        <v>93109.869646182487</v>
      </c>
      <c r="P110" t="s">
        <v>1236</v>
      </c>
      <c r="R110">
        <v>1610000</v>
      </c>
      <c r="S110" s="28">
        <v>1000000</v>
      </c>
    </row>
    <row r="111" spans="1:19" x14ac:dyDescent="0.25">
      <c r="A111" t="s">
        <v>1237</v>
      </c>
      <c r="D111" s="14" t="s">
        <v>1002</v>
      </c>
      <c r="E111" s="14" t="s">
        <v>76</v>
      </c>
      <c r="F111" t="s">
        <v>1238</v>
      </c>
      <c r="G111" s="134">
        <v>44774</v>
      </c>
      <c r="H111" s="134">
        <v>45138</v>
      </c>
      <c r="L111" s="133">
        <f t="shared" si="2"/>
        <v>135083.79888268156</v>
      </c>
      <c r="M111" s="133">
        <f t="shared" si="3"/>
        <v>93109.869646182487</v>
      </c>
      <c r="P111" t="s">
        <v>1239</v>
      </c>
      <c r="R111">
        <v>1450800</v>
      </c>
      <c r="S111" s="28">
        <v>1000000</v>
      </c>
    </row>
    <row r="112" spans="1:19" x14ac:dyDescent="0.25">
      <c r="A112" t="s">
        <v>1240</v>
      </c>
      <c r="D112" s="14" t="s">
        <v>1002</v>
      </c>
      <c r="E112" s="14" t="s">
        <v>76</v>
      </c>
      <c r="F112" t="s">
        <v>1241</v>
      </c>
      <c r="G112" s="134">
        <v>44805</v>
      </c>
      <c r="H112" s="134">
        <v>44957</v>
      </c>
      <c r="L112" s="133">
        <f t="shared" si="2"/>
        <v>54702.048417132217</v>
      </c>
      <c r="M112" s="133">
        <f t="shared" si="3"/>
        <v>38291.43389199255</v>
      </c>
      <c r="P112" t="s">
        <v>1242</v>
      </c>
      <c r="R112">
        <v>587500</v>
      </c>
      <c r="S112" s="28">
        <v>411250</v>
      </c>
    </row>
    <row r="113" spans="1:19" x14ac:dyDescent="0.25">
      <c r="A113" t="s">
        <v>1243</v>
      </c>
      <c r="D113" s="14" t="s">
        <v>1002</v>
      </c>
      <c r="E113" s="14" t="s">
        <v>76</v>
      </c>
      <c r="F113" t="s">
        <v>1244</v>
      </c>
      <c r="G113" s="134">
        <v>44986</v>
      </c>
      <c r="H113" s="134">
        <v>46022</v>
      </c>
      <c r="L113" s="133">
        <f t="shared" si="2"/>
        <v>424581.00558659219</v>
      </c>
      <c r="M113" s="133">
        <f t="shared" si="3"/>
        <v>212290.50279329609</v>
      </c>
      <c r="P113" t="s">
        <v>1245</v>
      </c>
      <c r="R113">
        <v>4560000</v>
      </c>
      <c r="S113" s="28">
        <v>2280000</v>
      </c>
    </row>
    <row r="114" spans="1:19" x14ac:dyDescent="0.25">
      <c r="A114" t="s">
        <v>1246</v>
      </c>
      <c r="D114" s="14" t="s">
        <v>1002</v>
      </c>
      <c r="E114" s="14" t="s">
        <v>76</v>
      </c>
      <c r="F114" t="s">
        <v>1247</v>
      </c>
      <c r="G114" s="134">
        <v>44986</v>
      </c>
      <c r="H114" s="134">
        <v>46022</v>
      </c>
      <c r="L114" s="133">
        <f t="shared" si="2"/>
        <v>474860.33519553073</v>
      </c>
      <c r="M114" s="133">
        <f t="shared" si="3"/>
        <v>237430.16759776536</v>
      </c>
      <c r="P114" t="s">
        <v>1248</v>
      </c>
      <c r="R114">
        <v>5100000</v>
      </c>
      <c r="S114" s="28">
        <v>2550000</v>
      </c>
    </row>
    <row r="115" spans="1:19" x14ac:dyDescent="0.25">
      <c r="A115" t="s">
        <v>1249</v>
      </c>
      <c r="D115" s="14" t="s">
        <v>1002</v>
      </c>
      <c r="E115" s="14" t="s">
        <v>76</v>
      </c>
      <c r="F115" t="s">
        <v>1090</v>
      </c>
      <c r="G115" s="134">
        <v>44986</v>
      </c>
      <c r="H115" s="134">
        <v>46022</v>
      </c>
      <c r="L115" s="133">
        <f t="shared" si="2"/>
        <v>447858.47299813782</v>
      </c>
      <c r="M115" s="133">
        <f t="shared" si="3"/>
        <v>223929.23649906891</v>
      </c>
      <c r="P115" t="s">
        <v>1250</v>
      </c>
      <c r="R115">
        <v>4810000</v>
      </c>
      <c r="S115" s="28">
        <v>2405000</v>
      </c>
    </row>
    <row r="116" spans="1:19" x14ac:dyDescent="0.25">
      <c r="A116" t="s">
        <v>1251</v>
      </c>
      <c r="D116" s="14" t="s">
        <v>1002</v>
      </c>
      <c r="E116" s="14" t="s">
        <v>76</v>
      </c>
      <c r="F116" t="s">
        <v>1252</v>
      </c>
      <c r="G116" s="134">
        <v>44986</v>
      </c>
      <c r="H116" s="134">
        <v>45351</v>
      </c>
      <c r="L116" s="133">
        <f t="shared" si="2"/>
        <v>172346.36871508381</v>
      </c>
      <c r="M116" s="133">
        <f t="shared" si="3"/>
        <v>93109.869646182487</v>
      </c>
      <c r="P116" t="s">
        <v>1253</v>
      </c>
      <c r="R116">
        <v>1851000</v>
      </c>
      <c r="S116" s="28">
        <v>1000000</v>
      </c>
    </row>
    <row r="117" spans="1:19" x14ac:dyDescent="0.25">
      <c r="A117" t="s">
        <v>1254</v>
      </c>
      <c r="D117" s="14" t="s">
        <v>1002</v>
      </c>
      <c r="E117" s="14" t="s">
        <v>76</v>
      </c>
      <c r="F117" t="s">
        <v>1255</v>
      </c>
      <c r="G117" s="134">
        <v>44986</v>
      </c>
      <c r="H117" s="134">
        <v>45351</v>
      </c>
      <c r="L117" s="133">
        <f t="shared" si="2"/>
        <v>84692.737430167603</v>
      </c>
      <c r="M117" s="133">
        <f t="shared" si="3"/>
        <v>59284.916201117318</v>
      </c>
      <c r="P117" t="s">
        <v>1256</v>
      </c>
      <c r="R117">
        <v>909600</v>
      </c>
      <c r="S117" s="28">
        <v>636720</v>
      </c>
    </row>
    <row r="118" spans="1:19" x14ac:dyDescent="0.25">
      <c r="A118" t="s">
        <v>1257</v>
      </c>
      <c r="D118" s="14" t="s">
        <v>1002</v>
      </c>
      <c r="E118" s="14" t="s">
        <v>76</v>
      </c>
      <c r="F118" t="s">
        <v>1258</v>
      </c>
      <c r="G118" s="134">
        <v>44986</v>
      </c>
      <c r="H118" s="134">
        <v>45291</v>
      </c>
      <c r="L118" s="133">
        <f t="shared" si="2"/>
        <v>132681.56424581006</v>
      </c>
      <c r="M118" s="133">
        <f t="shared" si="3"/>
        <v>92877.094972067032</v>
      </c>
      <c r="P118" t="s">
        <v>1259</v>
      </c>
      <c r="R118">
        <v>1425000</v>
      </c>
      <c r="S118" s="28">
        <v>997500</v>
      </c>
    </row>
    <row r="120" spans="1:19" x14ac:dyDescent="0.25">
      <c r="L120" s="148">
        <f>SUM(L3:L118)</f>
        <v>112065643.92047673</v>
      </c>
      <c r="M120" s="148">
        <f>SUM(M3:M118)</f>
        <v>55801917.432756059</v>
      </c>
    </row>
    <row r="121" spans="1:19" x14ac:dyDescent="0.25">
      <c r="B121" s="18"/>
      <c r="C121"/>
    </row>
    <row r="122" spans="1:19" x14ac:dyDescent="0.25">
      <c r="B122" s="18"/>
      <c r="C122"/>
    </row>
    <row r="123" spans="1:19" x14ac:dyDescent="0.25">
      <c r="B123" s="18"/>
      <c r="C123"/>
    </row>
    <row r="124" spans="1:19" x14ac:dyDescent="0.25">
      <c r="B124" s="18"/>
      <c r="C124"/>
    </row>
    <row r="125" spans="1:19" x14ac:dyDescent="0.25">
      <c r="B125" s="18"/>
      <c r="C125"/>
    </row>
    <row r="126" spans="1:19" x14ac:dyDescent="0.25">
      <c r="B126" s="18"/>
      <c r="C126"/>
    </row>
    <row r="127" spans="1:19" x14ac:dyDescent="0.25">
      <c r="B127" s="18"/>
      <c r="C127"/>
    </row>
    <row r="128" spans="1:19" x14ac:dyDescent="0.25">
      <c r="B128" s="18"/>
      <c r="C128"/>
    </row>
    <row r="129" spans="2:3" x14ac:dyDescent="0.25">
      <c r="B129" s="18"/>
      <c r="C129"/>
    </row>
    <row r="130" spans="2:3" x14ac:dyDescent="0.25">
      <c r="B130" s="18"/>
      <c r="C130"/>
    </row>
    <row r="131" spans="2:3" x14ac:dyDescent="0.25">
      <c r="B131" s="18"/>
      <c r="C131"/>
    </row>
    <row r="132" spans="2:3" x14ac:dyDescent="0.25">
      <c r="B132" s="18"/>
      <c r="C132"/>
    </row>
    <row r="133" spans="2:3" x14ac:dyDescent="0.25">
      <c r="B133" s="18"/>
      <c r="C133"/>
    </row>
    <row r="134" spans="2:3" x14ac:dyDescent="0.25">
      <c r="C134"/>
    </row>
    <row r="135" spans="2:3" x14ac:dyDescent="0.25">
      <c r="C135"/>
    </row>
  </sheetData>
  <hyperlinks>
    <hyperlink ref="P8" r:id="rId1" display="https://www.energimyndigheten.se/forskning-och-innovation/projektdatabas/sokresultat/?projectid=34397" xr:uid="{9CDC3AE9-1C13-4674-86BC-EEE4EC328DCE}"/>
    <hyperlink ref="P9" r:id="rId2" display="https://www.energimyndigheten.se/forskning-och-innovation/projektdatabas/sokresultat/?projectid=34489" xr:uid="{450FD023-AC9F-4510-BDE9-BFFF9B96312A}"/>
    <hyperlink ref="P10" r:id="rId3" display="https://www.energimyndigheten.se/forskning-och-innovation/projektdatabas/sokresultat/?projectid=34800" xr:uid="{36617E4D-41FC-4A27-BD69-EF5BC2E87160}"/>
    <hyperlink ref="P11" r:id="rId4" display="https://www.energimyndigheten.se/forskning-och-innovation/projektdatabas/sokresultat/?projectid=34427" xr:uid="{B7595436-D843-4532-8DB8-978094C077C1}"/>
    <hyperlink ref="P12" r:id="rId5" display="https://www.energimyndigheten.se/forskning-och-innovation/projektdatabas/sokresultat/?projectid=29566" xr:uid="{744BE649-029C-49E4-8640-33E4F031817C}"/>
    <hyperlink ref="P16" r:id="rId6" display="https://www.energimyndigheten.se/forskning-och-innovation/projektdatabas/sokresultat/?projectid=32432" xr:uid="{E653FDEE-2055-42D2-A415-2A693A6937AF}"/>
    <hyperlink ref="P49" r:id="rId7" display="https://www.energimyndigheten.se/forskning-och-innovation/projektdatabas/sokresultat/?projectid=31653" xr:uid="{82103A4C-AE22-4366-801F-A1C79A9199B9}"/>
    <hyperlink ref="P18" r:id="rId8" display="https://www.energimyndigheten.se/forskning-och-innovation/projektdatabas/sokresultat/?projectid=32427" xr:uid="{625749D3-32BA-4A58-8ADF-119857C24A65}"/>
    <hyperlink ref="P19" r:id="rId9" display="https://www.energimyndigheten.se/forskning-och-innovation/projektdatabas/sokresultat/?projectid=32429" xr:uid="{E66AB4FF-78CC-4C1F-B2EF-4864006C6B4E}"/>
    <hyperlink ref="P21" r:id="rId10" display="https://www.energimyndigheten.se/forskning-och-innovation/projektdatabas/sokresultat/?projectid=32459" xr:uid="{0525F0C2-E29D-4EA5-A58E-5F90AAFA680F}"/>
    <hyperlink ref="P22" r:id="rId11" display="https://www.energimyndigheten.se/forskning-och-innovation/projektdatabas/sokresultat/?projectid=32434" xr:uid="{0655755B-9BB8-4D4A-BC22-78F4901AC46F}"/>
    <hyperlink ref="P42" r:id="rId12" display="https://www.energimyndigheten.se/forskning-och-innovation/projektdatabas/sokresultat/?projectid=31558" xr:uid="{DE9A1B6C-EC3A-4950-9305-F79C27B2FF02}"/>
    <hyperlink ref="P26" r:id="rId13" display="https://www.energimyndigheten.se/forskning-och-innovation/projektdatabas/sokresultat/?projectid=31525" xr:uid="{F88CFBCE-5CCD-4B07-A9CA-6721469A7296}"/>
    <hyperlink ref="P27" r:id="rId14" display="https://www.energimyndigheten.se/forskning-och-innovation/projektdatabas/sokresultat/?projectid=31404" xr:uid="{9237C970-CE27-4E52-BE75-63270C8A4A26}"/>
    <hyperlink ref="P29" r:id="rId15" display="https://www.energimyndigheten.se/forskning-och-innovation/projektdatabas/sokresultat/?projectid=31541" xr:uid="{290100AD-61F6-406B-87EE-582951749EA5}"/>
    <hyperlink ref="P30" r:id="rId16" display="https://www.energimyndigheten.se/forskning-och-innovation/projektdatabas/sokresultat/?projectid=31545" xr:uid="{0E772157-1A7A-4CA2-AC65-D50081FB44CD}"/>
    <hyperlink ref="P33" r:id="rId17" display="https://www.energimyndigheten.se/forskning-och-innovation/projektdatabas/sokresultat/?projectid=30795" xr:uid="{9F9EEA3B-5BEE-43AE-AD42-9A404E04B268}"/>
    <hyperlink ref="P34" r:id="rId18" display="https://www.energimyndigheten.se/forskning-och-innovation/projektdatabas/sokresultat/?projectid=31113" xr:uid="{A3350B37-2627-48B7-9526-BDA2AB653373}"/>
    <hyperlink ref="P35" r:id="rId19" display="https://www.energimyndigheten.se/forskning-och-innovation/projektdatabas/sokresultat/?projectid=29881" xr:uid="{0362620E-0729-4508-8F8B-EAD7E303181B}"/>
    <hyperlink ref="P46" r:id="rId20" display="https://www.energimyndigheten.se/forskning-och-innovation/projektdatabas/sokresultat/?projectid=30777" xr:uid="{9F6E6B0A-5818-42DC-802B-C8753E8484AA}"/>
    <hyperlink ref="P37" r:id="rId21" display="https://www.energimyndigheten.se/forskning-och-innovation/projektdatabas/sokresultat/?projectid=29178" xr:uid="{427C8484-D045-4E43-8C00-A48EFC7A6450}"/>
    <hyperlink ref="P38" r:id="rId22" display="https://www.energimyndigheten.se/forskning-och-innovation/projektdatabas/sokresultat/?projectid=28342" xr:uid="{A357046F-43E4-4663-A491-30E56474DA62}"/>
    <hyperlink ref="P39" r:id="rId23" display="https://www.energimyndigheten.se/forskning-och-innovation/projektdatabas/sokresultat/?projectid=27712" xr:uid="{854060CC-4FFA-4F3B-A363-60D375888635}"/>
    <hyperlink ref="P28" r:id="rId24" display="https://www.energimyndigheten.se/forskning-och-innovation/projektdatabas/sokresultat/?projectid=27702" xr:uid="{93195B5C-A2E6-420F-BE9C-DD67DF5F18E5}"/>
    <hyperlink ref="P40" r:id="rId25" display="https://www.energimyndigheten.se/forskning-och-innovation/projektdatabas/sokresultat/?projectid=27664" xr:uid="{D3ACB3FE-9B67-4C32-8C6B-48F518C3A00C}"/>
    <hyperlink ref="P41" r:id="rId26" display="https://www.energimyndigheten.se/forskning-och-innovation/projektdatabas/sokresultat/?projectid=26748" xr:uid="{AA00B236-3BC9-4D13-BF78-924C7E741B92}"/>
    <hyperlink ref="P31" r:id="rId27" display="https://www.energimyndigheten.se/forskning-och-innovation/projektdatabas/sokresultat/?projectid=27699" xr:uid="{5FECB530-C935-4B83-A3FB-939A4F077518}"/>
    <hyperlink ref="P43" r:id="rId28" display="https://www.energimyndigheten.se/forskning-och-innovation/projektdatabas/sokresultat/?projectid=26508" xr:uid="{351B1D0A-B040-4CB0-BAAA-FAD9F7303204}"/>
    <hyperlink ref="P36" r:id="rId29" display="https://www.energimyndigheten.se/forskning-och-innovation/projektdatabas/sokresultat/?projectid=26645" xr:uid="{F2E034AA-78A4-4C76-87F2-DB328C41C74D}"/>
    <hyperlink ref="P44" r:id="rId30" display="https://www.energimyndigheten.se/forskning-och-innovation/projektdatabas/sokresultat/?projectid=26170" xr:uid="{0E2C741C-080E-4B29-8737-E6819583853A}"/>
    <hyperlink ref="P45" r:id="rId31" display="https://www.energimyndigheten.se/forskning-och-innovation/projektdatabas/sokresultat/?projectid=25210" xr:uid="{5D9245F9-D8E3-4EAE-A265-3AAA4A3B8903}"/>
    <hyperlink ref="P17" r:id="rId32" display="https://www.energimyndigheten.se/forskning-och-innovation/projektdatabas/sokresultat/?projectid=24513" xr:uid="{3A294AE9-2E6B-4858-8396-7093472748DC}"/>
    <hyperlink ref="P23" r:id="rId33" display="https://www.energimyndigheten.se/forskning-och-innovation/projektdatabas/sokresultat/?projectid=24841" xr:uid="{12C39734-8E98-4A18-B1E3-BB8015498F07}"/>
    <hyperlink ref="P50" r:id="rId34" display="https://www.energimyndigheten.se/forskning-och-innovation/projektdatabas/sokresultat/?projectid=34394" xr:uid="{14F2CF58-90B0-4CE6-8358-48CEA2F0651E}"/>
    <hyperlink ref="P25" r:id="rId35" display="https://www.energimyndigheten.se/forskning-och-innovation/projektdatabas/sokresultat/?projectid=25990" xr:uid="{C4250332-D7B0-4A73-A200-C688AEE8B95C}"/>
    <hyperlink ref="P47" r:id="rId36" display="https://www.energimyndigheten.se/forskning-och-innovation/projektdatabas/sokresultat/?projectid=24026" xr:uid="{679F96B5-223D-49A4-B99A-1E9E3BDA98D4}"/>
    <hyperlink ref="P48" r:id="rId37" display="https://www.energimyndigheten.se/forskning-och-innovation/projektdatabas/sokresultat/?projectid=23152" xr:uid="{AE3846A5-18CF-449E-8D61-340FEEA6B987}"/>
    <hyperlink ref="P51" r:id="rId38" display="https://www.energimyndigheten.se/forskning-och-innovation/projektdatabas/sokresultat/?projectid=34388" xr:uid="{8836A8C9-DF6A-44CC-9935-7D857438633F}"/>
    <hyperlink ref="P52" r:id="rId39" display="https://www.energimyndigheten.se/forskning-och-innovation/projektdatabas/sokresultat/?projectid=34053" xr:uid="{ED83F8A5-3702-4E1E-8FD0-19D05992B5C4}"/>
    <hyperlink ref="P53" r:id="rId40" display="https://www.energimyndigheten.se/forskning-och-innovation/projektdatabas/sokresultat/?projectid=34429" xr:uid="{CB1CC842-0D9E-41F5-B2A5-950577508283}"/>
    <hyperlink ref="P54" r:id="rId41" display="https://www.energimyndigheten.se/forskning-och-innovation/projektdatabas/sokresultat/?projectid=33836" xr:uid="{F36CB509-AD36-4808-AE61-1CC4159EF481}"/>
    <hyperlink ref="P56" r:id="rId42" display="https://www.energimyndigheten.se/forskning-och-innovation/projektdatabas/sokresultat/?projectid=30281" xr:uid="{B7D79EF4-44C3-425D-9CC9-C9E8327F0710}"/>
    <hyperlink ref="P57" r:id="rId43" display="https://www.energimyndigheten.se/forskning-och-innovation/projektdatabas/sokresultat/?projectid=29642" xr:uid="{7B82C1D0-33C6-4567-9611-8BA21E4B3BCB}"/>
    <hyperlink ref="P58" r:id="rId44" display="https://www.energimyndigheten.se/forskning-och-innovation/projektdatabas/sokresultat/?projectid=25930" xr:uid="{035CD775-E1EC-44B8-897E-F8A1E466457C}"/>
    <hyperlink ref="P32" r:id="rId45" display="https://www.energimyndigheten.se/forskning-och-innovation/projektdatabas/sokresultat/?projectid=32067" xr:uid="{36229CF9-BE76-49C6-B427-4EF141401788}"/>
  </hyperlinks>
  <pageMargins left="0.7" right="0.7" top="0.75" bottom="0.75" header="0.3" footer="0.3"/>
  <pageSetup paperSize="9" scale="46" orientation="landscape" r:id="rId4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2D6C-92FA-4DE6-B4F0-90A79DB186CE}">
  <sheetPr>
    <pageSetUpPr fitToPage="1"/>
  </sheetPr>
  <dimension ref="A1:Q19"/>
  <sheetViews>
    <sheetView zoomScale="90" zoomScaleNormal="90" workbookViewId="0"/>
  </sheetViews>
  <sheetFormatPr defaultRowHeight="15" x14ac:dyDescent="0.25"/>
  <cols>
    <col min="1" max="1" width="49.140625" customWidth="1"/>
    <col min="2" max="2" width="16.7109375" hidden="1" customWidth="1"/>
    <col min="3" max="3" width="16.5703125" customWidth="1"/>
    <col min="4" max="4" width="31.28515625" customWidth="1"/>
    <col min="5" max="5" width="19.28515625" customWidth="1"/>
    <col min="6" max="6" width="27.7109375" customWidth="1"/>
    <col min="7" max="7" width="14.140625" customWidth="1"/>
    <col min="8" max="8" width="12.5703125" customWidth="1"/>
    <col min="9" max="9" width="20.42578125" customWidth="1"/>
    <col min="10" max="10" width="19.140625" customWidth="1"/>
    <col min="11" max="12" width="14.28515625" customWidth="1"/>
    <col min="13" max="13" width="37.85546875" customWidth="1"/>
  </cols>
  <sheetData>
    <row r="1" spans="1:17" ht="38.25" customHeight="1" x14ac:dyDescent="0.35">
      <c r="A1" s="34" t="s">
        <v>154</v>
      </c>
    </row>
    <row r="2" spans="1:17" s="7" customFormat="1" ht="47.25" x14ac:dyDescent="0.25">
      <c r="A2" s="8" t="s">
        <v>1</v>
      </c>
      <c r="B2" s="8" t="s">
        <v>2</v>
      </c>
      <c r="C2" s="25" t="s">
        <v>3</v>
      </c>
      <c r="D2" s="8" t="s">
        <v>4</v>
      </c>
      <c r="E2" s="9" t="s">
        <v>162</v>
      </c>
      <c r="F2" s="8" t="s">
        <v>163</v>
      </c>
      <c r="G2" s="8" t="s">
        <v>6</v>
      </c>
      <c r="H2" s="9" t="s">
        <v>7</v>
      </c>
      <c r="I2" s="9" t="s">
        <v>8</v>
      </c>
      <c r="J2" s="8" t="s">
        <v>1260</v>
      </c>
      <c r="K2" s="9" t="s">
        <v>1261</v>
      </c>
      <c r="L2" s="9" t="s">
        <v>1262</v>
      </c>
      <c r="M2" s="9" t="s">
        <v>1263</v>
      </c>
      <c r="O2" s="7" t="s">
        <v>1264</v>
      </c>
      <c r="P2" s="7">
        <v>4.5999999999999999E-2</v>
      </c>
      <c r="Q2" s="7" t="s">
        <v>1265</v>
      </c>
    </row>
    <row r="3" spans="1:17" ht="75" x14ac:dyDescent="0.25">
      <c r="A3" s="160" t="s">
        <v>1266</v>
      </c>
      <c r="B3" s="161" t="s">
        <v>160</v>
      </c>
      <c r="C3" s="45">
        <v>2</v>
      </c>
      <c r="D3" s="162" t="s">
        <v>1267</v>
      </c>
      <c r="E3" s="161" t="s">
        <v>154</v>
      </c>
      <c r="F3" s="163" t="s">
        <v>1268</v>
      </c>
      <c r="G3" s="45">
        <v>2019</v>
      </c>
      <c r="H3" s="45">
        <v>2022</v>
      </c>
      <c r="I3" s="45" t="s">
        <v>99</v>
      </c>
      <c r="J3" s="45" t="s">
        <v>1269</v>
      </c>
      <c r="K3" s="164" t="s">
        <v>1269</v>
      </c>
      <c r="L3" s="165">
        <v>4912459</v>
      </c>
      <c r="M3" s="162" t="s">
        <v>1270</v>
      </c>
    </row>
    <row r="4" spans="1:17" ht="45" x14ac:dyDescent="0.25">
      <c r="A4" s="160" t="s">
        <v>1271</v>
      </c>
      <c r="B4" s="161" t="s">
        <v>1272</v>
      </c>
      <c r="C4" s="45">
        <v>4</v>
      </c>
      <c r="D4" s="162" t="s">
        <v>1273</v>
      </c>
      <c r="E4" s="161" t="s">
        <v>154</v>
      </c>
      <c r="F4" s="163" t="s">
        <v>1274</v>
      </c>
      <c r="G4" s="45">
        <v>2017</v>
      </c>
      <c r="H4" s="45">
        <v>2020</v>
      </c>
      <c r="I4" s="45" t="s">
        <v>263</v>
      </c>
      <c r="J4" s="165">
        <v>504157</v>
      </c>
      <c r="K4" s="165">
        <v>504157</v>
      </c>
      <c r="L4" s="165">
        <f>(K4*$P$2)</f>
        <v>23191.221999999998</v>
      </c>
      <c r="M4" s="166" t="s">
        <v>1275</v>
      </c>
    </row>
    <row r="5" spans="1:17" ht="45" x14ac:dyDescent="0.25">
      <c r="A5" s="160" t="s">
        <v>1276</v>
      </c>
      <c r="B5" s="161" t="s">
        <v>38</v>
      </c>
      <c r="C5" s="45">
        <v>2</v>
      </c>
      <c r="D5" s="162" t="s">
        <v>1277</v>
      </c>
      <c r="E5" s="161" t="s">
        <v>154</v>
      </c>
      <c r="F5" s="163" t="s">
        <v>1278</v>
      </c>
      <c r="G5" s="45">
        <v>2017</v>
      </c>
      <c r="H5" s="45">
        <v>2020</v>
      </c>
      <c r="I5" s="45" t="s">
        <v>700</v>
      </c>
      <c r="J5" s="165">
        <v>473400</v>
      </c>
      <c r="K5" s="165">
        <v>473400</v>
      </c>
      <c r="L5" s="165">
        <f t="shared" ref="L5:L13" si="0">(K5*$P$2)</f>
        <v>21776.399999999998</v>
      </c>
      <c r="M5" s="166" t="s">
        <v>1279</v>
      </c>
    </row>
    <row r="6" spans="1:17" ht="45" x14ac:dyDescent="0.25">
      <c r="A6" s="15" t="s">
        <v>1280</v>
      </c>
      <c r="B6" s="2" t="s">
        <v>402</v>
      </c>
      <c r="C6" s="18">
        <v>8</v>
      </c>
      <c r="D6" s="14" t="s">
        <v>1273</v>
      </c>
      <c r="E6" s="2" t="s">
        <v>154</v>
      </c>
      <c r="F6" s="19" t="s">
        <v>1281</v>
      </c>
      <c r="G6" s="18">
        <v>2017</v>
      </c>
      <c r="H6" s="18">
        <v>2020</v>
      </c>
      <c r="I6" s="18" t="s">
        <v>157</v>
      </c>
      <c r="J6" s="30">
        <v>438550</v>
      </c>
      <c r="K6" s="30">
        <v>438550</v>
      </c>
      <c r="L6" s="30">
        <f t="shared" si="0"/>
        <v>20173.3</v>
      </c>
      <c r="M6" s="20" t="s">
        <v>1282</v>
      </c>
    </row>
    <row r="7" spans="1:17" ht="45" x14ac:dyDescent="0.25">
      <c r="A7" s="15" t="s">
        <v>1283</v>
      </c>
      <c r="B7" s="2" t="s">
        <v>1284</v>
      </c>
      <c r="C7" s="18">
        <v>4</v>
      </c>
      <c r="D7" s="14" t="s">
        <v>1273</v>
      </c>
      <c r="E7" s="2" t="s">
        <v>154</v>
      </c>
      <c r="F7" s="19" t="s">
        <v>1285</v>
      </c>
      <c r="G7" s="18">
        <v>2018</v>
      </c>
      <c r="H7" s="18">
        <v>2021</v>
      </c>
      <c r="I7" s="18" t="s">
        <v>1286</v>
      </c>
      <c r="J7" s="30">
        <v>468000</v>
      </c>
      <c r="K7" s="30">
        <v>468000</v>
      </c>
      <c r="L7" s="30">
        <f t="shared" si="0"/>
        <v>21528</v>
      </c>
      <c r="M7" s="20" t="s">
        <v>1282</v>
      </c>
    </row>
    <row r="8" spans="1:17" ht="45" x14ac:dyDescent="0.25">
      <c r="A8" s="15" t="s">
        <v>1287</v>
      </c>
      <c r="B8" s="2" t="s">
        <v>145</v>
      </c>
      <c r="C8" s="18">
        <v>4</v>
      </c>
      <c r="D8" s="14" t="s">
        <v>1273</v>
      </c>
      <c r="E8" s="2" t="s">
        <v>154</v>
      </c>
      <c r="F8" s="19" t="s">
        <v>1288</v>
      </c>
      <c r="G8" s="18">
        <v>2017</v>
      </c>
      <c r="H8" s="18">
        <v>2020</v>
      </c>
      <c r="I8" s="18" t="s">
        <v>1289</v>
      </c>
      <c r="J8" s="30">
        <v>482169</v>
      </c>
      <c r="K8" s="30">
        <v>482169</v>
      </c>
      <c r="L8" s="30">
        <f t="shared" si="0"/>
        <v>22179.774000000001</v>
      </c>
      <c r="M8" s="20" t="s">
        <v>1282</v>
      </c>
    </row>
    <row r="9" spans="1:17" ht="45" x14ac:dyDescent="0.25">
      <c r="A9" s="15" t="s">
        <v>1290</v>
      </c>
      <c r="B9" s="2" t="s">
        <v>348</v>
      </c>
      <c r="C9" s="18">
        <v>7</v>
      </c>
      <c r="D9" s="14" t="s">
        <v>1273</v>
      </c>
      <c r="E9" s="2" t="s">
        <v>154</v>
      </c>
      <c r="F9" s="19" t="s">
        <v>1291</v>
      </c>
      <c r="G9" s="18">
        <v>2017</v>
      </c>
      <c r="H9" s="18">
        <v>2019</v>
      </c>
      <c r="I9" s="18" t="s">
        <v>1292</v>
      </c>
      <c r="J9" s="30">
        <v>515378</v>
      </c>
      <c r="K9" s="30">
        <v>515378</v>
      </c>
      <c r="L9" s="30">
        <f t="shared" si="0"/>
        <v>23707.387999999999</v>
      </c>
      <c r="M9" s="20" t="s">
        <v>1293</v>
      </c>
    </row>
    <row r="10" spans="1:17" ht="45" x14ac:dyDescent="0.25">
      <c r="A10" s="15" t="s">
        <v>1294</v>
      </c>
      <c r="B10" s="2" t="s">
        <v>159</v>
      </c>
      <c r="C10" s="18">
        <v>7</v>
      </c>
      <c r="D10" s="14" t="s">
        <v>1273</v>
      </c>
      <c r="E10" s="2" t="s">
        <v>154</v>
      </c>
      <c r="F10" s="19" t="s">
        <v>1295</v>
      </c>
      <c r="G10" s="18">
        <v>2019</v>
      </c>
      <c r="H10" s="18">
        <v>2022</v>
      </c>
      <c r="I10" s="18" t="s">
        <v>1296</v>
      </c>
      <c r="J10" s="30">
        <v>719500</v>
      </c>
      <c r="K10" s="30">
        <v>719500</v>
      </c>
      <c r="L10" s="30">
        <f t="shared" si="0"/>
        <v>33097</v>
      </c>
      <c r="M10" s="20" t="s">
        <v>1282</v>
      </c>
    </row>
    <row r="11" spans="1:17" ht="45" x14ac:dyDescent="0.25">
      <c r="A11" s="15" t="s">
        <v>1297</v>
      </c>
      <c r="B11" s="2" t="s">
        <v>159</v>
      </c>
      <c r="C11" s="18">
        <v>7</v>
      </c>
      <c r="D11" s="14" t="s">
        <v>1273</v>
      </c>
      <c r="E11" s="2" t="s">
        <v>154</v>
      </c>
      <c r="F11" s="19" t="s">
        <v>1295</v>
      </c>
      <c r="G11" s="18">
        <v>2019</v>
      </c>
      <c r="H11" s="18">
        <v>2022</v>
      </c>
      <c r="I11" s="18" t="s">
        <v>1296</v>
      </c>
      <c r="J11" s="30">
        <v>400000</v>
      </c>
      <c r="K11" s="30">
        <v>400000</v>
      </c>
      <c r="L11" s="30">
        <f t="shared" si="0"/>
        <v>18400</v>
      </c>
      <c r="M11" s="20" t="s">
        <v>1282</v>
      </c>
    </row>
    <row r="12" spans="1:17" ht="45" x14ac:dyDescent="0.25">
      <c r="A12" s="15" t="s">
        <v>1298</v>
      </c>
      <c r="B12" s="2" t="s">
        <v>348</v>
      </c>
      <c r="C12" s="18">
        <v>7</v>
      </c>
      <c r="D12" s="14" t="s">
        <v>1273</v>
      </c>
      <c r="E12" s="2" t="s">
        <v>154</v>
      </c>
      <c r="F12" s="19" t="s">
        <v>1299</v>
      </c>
      <c r="G12" s="18">
        <v>2018</v>
      </c>
      <c r="H12" s="18">
        <v>2020</v>
      </c>
      <c r="I12" s="18" t="s">
        <v>263</v>
      </c>
      <c r="J12" s="30">
        <v>430824</v>
      </c>
      <c r="K12" s="30">
        <v>430824</v>
      </c>
      <c r="L12" s="30">
        <f t="shared" si="0"/>
        <v>19817.903999999999</v>
      </c>
      <c r="M12" s="20" t="s">
        <v>1282</v>
      </c>
    </row>
    <row r="13" spans="1:17" ht="45" x14ac:dyDescent="0.25">
      <c r="A13" s="15" t="s">
        <v>1300</v>
      </c>
      <c r="B13" s="2" t="s">
        <v>145</v>
      </c>
      <c r="C13" s="18">
        <v>4</v>
      </c>
      <c r="D13" s="14" t="s">
        <v>1273</v>
      </c>
      <c r="E13" s="2" t="s">
        <v>154</v>
      </c>
      <c r="F13" s="19" t="s">
        <v>1288</v>
      </c>
      <c r="G13" s="18">
        <v>2019</v>
      </c>
      <c r="H13" s="18">
        <v>2021</v>
      </c>
      <c r="I13" s="18" t="s">
        <v>150</v>
      </c>
      <c r="J13" s="30">
        <v>482169</v>
      </c>
      <c r="K13" s="30">
        <v>482169</v>
      </c>
      <c r="L13" s="30">
        <f t="shared" si="0"/>
        <v>22179.774000000001</v>
      </c>
      <c r="M13" s="20" t="s">
        <v>1282</v>
      </c>
    </row>
    <row r="14" spans="1:17" ht="45" x14ac:dyDescent="0.25">
      <c r="A14" s="15" t="s">
        <v>1301</v>
      </c>
      <c r="B14" s="2" t="s">
        <v>348</v>
      </c>
      <c r="C14" s="18">
        <v>7</v>
      </c>
      <c r="D14" s="14" t="s">
        <v>1273</v>
      </c>
      <c r="E14" s="2" t="s">
        <v>154</v>
      </c>
      <c r="F14" s="19" t="s">
        <v>1302</v>
      </c>
      <c r="G14" s="18">
        <v>2017</v>
      </c>
      <c r="H14" s="18">
        <v>2020</v>
      </c>
      <c r="I14" s="18" t="s">
        <v>150</v>
      </c>
      <c r="J14" s="30">
        <v>545263</v>
      </c>
      <c r="K14" s="30">
        <v>545263</v>
      </c>
      <c r="L14" s="30">
        <f>(K14*$P$2)</f>
        <v>25082.097999999998</v>
      </c>
      <c r="M14" s="20" t="s">
        <v>1303</v>
      </c>
    </row>
    <row r="15" spans="1:17" x14ac:dyDescent="0.25">
      <c r="F15" s="16"/>
      <c r="G15" s="16"/>
      <c r="H15" s="16"/>
      <c r="I15" s="16"/>
    </row>
    <row r="16" spans="1:17" x14ac:dyDescent="0.25">
      <c r="F16" s="16"/>
      <c r="G16" s="16"/>
      <c r="H16" s="16"/>
      <c r="I16" s="16"/>
      <c r="K16" s="97">
        <f>SUM(K3:K14)</f>
        <v>5459410</v>
      </c>
      <c r="L16" s="97">
        <f>SUM(L3:L14)</f>
        <v>5163591.8600000013</v>
      </c>
      <c r="M16" s="91">
        <v>0</v>
      </c>
    </row>
    <row r="17" spans="1:13" x14ac:dyDescent="0.25">
      <c r="K17" s="100" t="s">
        <v>247</v>
      </c>
      <c r="L17" s="100" t="s">
        <v>247</v>
      </c>
      <c r="M17" s="99" t="s">
        <v>211</v>
      </c>
    </row>
    <row r="19" spans="1:13" x14ac:dyDescent="0.25">
      <c r="A19" s="159" t="s">
        <v>239</v>
      </c>
      <c r="B19" s="159"/>
      <c r="C19" s="159"/>
      <c r="D19" s="159"/>
      <c r="E19" s="159"/>
      <c r="F19" s="159"/>
      <c r="G19" s="159"/>
      <c r="H19" s="159"/>
      <c r="I19" s="159"/>
      <c r="J19" s="159"/>
      <c r="K19" s="159"/>
      <c r="L19" s="159"/>
      <c r="M19" s="159"/>
    </row>
  </sheetData>
  <mergeCells count="1">
    <mergeCell ref="A19:M19"/>
  </mergeCells>
  <phoneticPr fontId="5" type="noConversion"/>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6"/>
  <sheetViews>
    <sheetView zoomScale="85" zoomScaleNormal="85" workbookViewId="0">
      <selection activeCell="Q9" sqref="Q9:Q10"/>
    </sheetView>
  </sheetViews>
  <sheetFormatPr defaultRowHeight="15" x14ac:dyDescent="0.25"/>
  <cols>
    <col min="1" max="1" width="22.85546875" customWidth="1"/>
    <col min="2" max="2" width="17.5703125" hidden="1" customWidth="1"/>
    <col min="3" max="3" width="18.5703125" customWidth="1"/>
    <col min="4" max="4" width="21.28515625" customWidth="1"/>
    <col min="5" max="5" width="15.7109375" customWidth="1"/>
    <col min="6" max="6" width="12.140625" customWidth="1"/>
    <col min="7" max="7" width="10.42578125" customWidth="1"/>
    <col min="8" max="8" width="21" bestFit="1" customWidth="1"/>
    <col min="9" max="9" width="14.28515625" customWidth="1"/>
    <col min="10" max="10" width="12.5703125" customWidth="1"/>
    <col min="11" max="11" width="14" customWidth="1"/>
    <col min="12" max="12" width="46.42578125" hidden="1" customWidth="1"/>
    <col min="13" max="13" width="13.140625" bestFit="1" customWidth="1"/>
  </cols>
  <sheetData>
    <row r="1" spans="1:13" ht="34.5" customHeight="1" x14ac:dyDescent="0.35">
      <c r="A1" s="34" t="s">
        <v>0</v>
      </c>
    </row>
    <row r="2" spans="1:13" s="6" customFormat="1" ht="31.5" x14ac:dyDescent="0.25">
      <c r="A2" s="8" t="s">
        <v>1</v>
      </c>
      <c r="B2" s="8" t="s">
        <v>2</v>
      </c>
      <c r="C2" s="8" t="s">
        <v>3</v>
      </c>
      <c r="D2" s="8" t="s">
        <v>4</v>
      </c>
      <c r="E2" s="8" t="s">
        <v>5</v>
      </c>
      <c r="F2" s="8" t="s">
        <v>6</v>
      </c>
      <c r="G2" s="9" t="s">
        <v>7</v>
      </c>
      <c r="H2" s="9" t="s">
        <v>8</v>
      </c>
      <c r="I2" s="8" t="s">
        <v>9</v>
      </c>
      <c r="J2" s="9" t="s">
        <v>10</v>
      </c>
      <c r="K2" s="9" t="s">
        <v>11</v>
      </c>
      <c r="L2" s="9" t="s">
        <v>12</v>
      </c>
    </row>
    <row r="3" spans="1:13" ht="30" x14ac:dyDescent="0.25">
      <c r="A3" s="52" t="s">
        <v>13</v>
      </c>
      <c r="B3" s="2" t="s">
        <v>14</v>
      </c>
      <c r="C3" s="53">
        <v>1</v>
      </c>
      <c r="D3" s="2" t="s">
        <v>15</v>
      </c>
      <c r="E3" s="2" t="s">
        <v>16</v>
      </c>
      <c r="F3" s="18">
        <v>2017</v>
      </c>
      <c r="G3" s="18">
        <v>2022</v>
      </c>
      <c r="H3" s="23" t="s">
        <v>17</v>
      </c>
      <c r="I3" s="30">
        <v>4999955</v>
      </c>
      <c r="J3" s="30">
        <v>4999955</v>
      </c>
      <c r="K3" s="18" t="s">
        <v>18</v>
      </c>
      <c r="L3" s="48" t="s">
        <v>19</v>
      </c>
    </row>
    <row r="4" spans="1:13" ht="23.25" customHeight="1" x14ac:dyDescent="0.25">
      <c r="A4" s="52" t="s">
        <v>20</v>
      </c>
      <c r="B4" s="2" t="s">
        <v>21</v>
      </c>
      <c r="C4" s="53">
        <v>1</v>
      </c>
      <c r="D4" s="2" t="s">
        <v>15</v>
      </c>
      <c r="E4" s="2" t="s">
        <v>22</v>
      </c>
      <c r="F4" s="18">
        <v>2015</v>
      </c>
      <c r="G4" s="18">
        <v>2018</v>
      </c>
      <c r="H4" s="23" t="s">
        <v>23</v>
      </c>
      <c r="I4" s="30">
        <v>4599414</v>
      </c>
      <c r="J4" s="30">
        <v>4599414</v>
      </c>
      <c r="K4" s="18" t="s">
        <v>18</v>
      </c>
      <c r="L4" s="48" t="s">
        <v>24</v>
      </c>
    </row>
    <row r="5" spans="1:13" ht="30" x14ac:dyDescent="0.25">
      <c r="A5" s="190" t="s">
        <v>25</v>
      </c>
      <c r="B5" s="186" t="s">
        <v>26</v>
      </c>
      <c r="C5" s="191">
        <v>2</v>
      </c>
      <c r="D5" s="186" t="s">
        <v>15</v>
      </c>
      <c r="E5" s="186" t="s">
        <v>27</v>
      </c>
      <c r="F5" s="174">
        <v>2015</v>
      </c>
      <c r="G5" s="174">
        <v>2021</v>
      </c>
      <c r="H5" s="173" t="s">
        <v>28</v>
      </c>
      <c r="I5" s="179">
        <v>14560736.75</v>
      </c>
      <c r="J5" s="179">
        <v>10192516</v>
      </c>
      <c r="K5" s="174" t="s">
        <v>29</v>
      </c>
      <c r="L5" s="48" t="s">
        <v>30</v>
      </c>
      <c r="M5" s="59"/>
    </row>
    <row r="6" spans="1:13" ht="30" x14ac:dyDescent="0.25">
      <c r="A6" s="190" t="s">
        <v>31</v>
      </c>
      <c r="B6" s="186" t="s">
        <v>32</v>
      </c>
      <c r="C6" s="191" t="s">
        <v>33</v>
      </c>
      <c r="D6" s="186" t="s">
        <v>15</v>
      </c>
      <c r="E6" s="186" t="s">
        <v>34</v>
      </c>
      <c r="F6" s="174">
        <v>2017</v>
      </c>
      <c r="G6" s="174">
        <v>2021</v>
      </c>
      <c r="H6" s="173" t="s">
        <v>35</v>
      </c>
      <c r="I6" s="179">
        <v>5965473</v>
      </c>
      <c r="J6" s="179">
        <v>5965473</v>
      </c>
      <c r="K6" s="174" t="s">
        <v>18</v>
      </c>
      <c r="L6" s="48" t="s">
        <v>36</v>
      </c>
    </row>
    <row r="7" spans="1:13" ht="28.5" customHeight="1" x14ac:dyDescent="0.25">
      <c r="A7" s="190" t="s">
        <v>37</v>
      </c>
      <c r="B7" s="185" t="s">
        <v>38</v>
      </c>
      <c r="C7" s="191">
        <v>11</v>
      </c>
      <c r="D7" s="186" t="s">
        <v>15</v>
      </c>
      <c r="E7" s="186" t="s">
        <v>39</v>
      </c>
      <c r="F7" s="174">
        <v>2016</v>
      </c>
      <c r="G7" s="174">
        <v>2018</v>
      </c>
      <c r="H7" s="173" t="s">
        <v>35</v>
      </c>
      <c r="I7" s="179">
        <v>1971610</v>
      </c>
      <c r="J7" s="179">
        <v>1971610</v>
      </c>
      <c r="K7" s="174" t="s">
        <v>40</v>
      </c>
      <c r="L7" s="48" t="s">
        <v>41</v>
      </c>
    </row>
    <row r="8" spans="1:13" ht="30" x14ac:dyDescent="0.25">
      <c r="A8" s="190" t="s">
        <v>42</v>
      </c>
      <c r="B8" s="185" t="s">
        <v>43</v>
      </c>
      <c r="C8" s="191">
        <v>1</v>
      </c>
      <c r="D8" s="186" t="s">
        <v>15</v>
      </c>
      <c r="E8" s="186" t="s">
        <v>44</v>
      </c>
      <c r="F8" s="174">
        <v>2018</v>
      </c>
      <c r="G8" s="174">
        <v>2022</v>
      </c>
      <c r="H8" s="173" t="s">
        <v>45</v>
      </c>
      <c r="I8" s="179">
        <v>4954341</v>
      </c>
      <c r="J8" s="179">
        <v>4954341</v>
      </c>
      <c r="K8" s="174" t="s">
        <v>18</v>
      </c>
      <c r="L8" s="48" t="s">
        <v>19</v>
      </c>
    </row>
    <row r="9" spans="1:13" ht="30" x14ac:dyDescent="0.25">
      <c r="A9" s="190" t="s">
        <v>46</v>
      </c>
      <c r="B9" s="185" t="s">
        <v>47</v>
      </c>
      <c r="C9" s="191" t="s">
        <v>33</v>
      </c>
      <c r="D9" s="186" t="s">
        <v>15</v>
      </c>
      <c r="E9" s="186" t="s">
        <v>34</v>
      </c>
      <c r="F9" s="174">
        <v>2018</v>
      </c>
      <c r="G9" s="174">
        <v>2022</v>
      </c>
      <c r="H9" s="173" t="s">
        <v>48</v>
      </c>
      <c r="I9" s="179">
        <v>4996155</v>
      </c>
      <c r="J9" s="179">
        <v>4996155</v>
      </c>
      <c r="K9" s="174" t="s">
        <v>18</v>
      </c>
      <c r="L9" s="48" t="s">
        <v>19</v>
      </c>
    </row>
    <row r="10" spans="1:13" ht="30" x14ac:dyDescent="0.25">
      <c r="A10" s="190" t="s">
        <v>49</v>
      </c>
      <c r="B10" s="185" t="s">
        <v>32</v>
      </c>
      <c r="C10" s="191">
        <v>2</v>
      </c>
      <c r="D10" s="186" t="s">
        <v>15</v>
      </c>
      <c r="E10" s="186" t="s">
        <v>44</v>
      </c>
      <c r="F10" s="174">
        <v>2018</v>
      </c>
      <c r="G10" s="174">
        <v>2022</v>
      </c>
      <c r="H10" s="173" t="s">
        <v>50</v>
      </c>
      <c r="I10" s="179">
        <v>19791557</v>
      </c>
      <c r="J10" s="179">
        <v>13856302</v>
      </c>
      <c r="K10" s="174" t="s">
        <v>29</v>
      </c>
      <c r="L10" s="48" t="s">
        <v>19</v>
      </c>
      <c r="M10" s="59"/>
    </row>
    <row r="11" spans="1:13" ht="30" x14ac:dyDescent="0.25">
      <c r="A11" s="190" t="s">
        <v>51</v>
      </c>
      <c r="B11" s="185" t="s">
        <v>52</v>
      </c>
      <c r="C11" s="191">
        <v>2</v>
      </c>
      <c r="D11" s="186" t="s">
        <v>15</v>
      </c>
      <c r="E11" s="186" t="s">
        <v>16</v>
      </c>
      <c r="F11" s="174">
        <v>2018</v>
      </c>
      <c r="G11" s="174">
        <v>2022</v>
      </c>
      <c r="H11" s="173" t="s">
        <v>53</v>
      </c>
      <c r="I11" s="179">
        <v>16860911</v>
      </c>
      <c r="J11" s="179">
        <v>10002520</v>
      </c>
      <c r="K11" s="174" t="s">
        <v>29</v>
      </c>
      <c r="L11" s="48" t="s">
        <v>19</v>
      </c>
      <c r="M11" s="59"/>
    </row>
    <row r="12" spans="1:13" ht="30" x14ac:dyDescent="0.25">
      <c r="A12" s="190" t="s">
        <v>54</v>
      </c>
      <c r="B12" s="185" t="s">
        <v>55</v>
      </c>
      <c r="C12" s="191">
        <v>11</v>
      </c>
      <c r="D12" s="186" t="s">
        <v>15</v>
      </c>
      <c r="E12" s="186" t="s">
        <v>56</v>
      </c>
      <c r="F12" s="174">
        <v>2016</v>
      </c>
      <c r="G12" s="174">
        <v>2021</v>
      </c>
      <c r="H12" s="173" t="s">
        <v>57</v>
      </c>
      <c r="I12" s="179">
        <v>5923316</v>
      </c>
      <c r="J12" s="179">
        <v>5923316</v>
      </c>
      <c r="K12" s="174" t="s">
        <v>18</v>
      </c>
      <c r="L12" s="48" t="s">
        <v>58</v>
      </c>
    </row>
    <row r="13" spans="1:13" ht="31.5" customHeight="1" x14ac:dyDescent="0.25">
      <c r="A13" s="190" t="s">
        <v>59</v>
      </c>
      <c r="B13" s="185" t="s">
        <v>60</v>
      </c>
      <c r="C13" s="191" t="s">
        <v>61</v>
      </c>
      <c r="D13" s="186" t="s">
        <v>15</v>
      </c>
      <c r="E13" s="186" t="s">
        <v>34</v>
      </c>
      <c r="F13" s="174">
        <v>2016</v>
      </c>
      <c r="G13" s="174">
        <v>2019</v>
      </c>
      <c r="H13" s="173" t="s">
        <v>62</v>
      </c>
      <c r="I13" s="179">
        <v>2494986</v>
      </c>
      <c r="J13" s="179">
        <v>2494986</v>
      </c>
      <c r="K13" s="174" t="s">
        <v>18</v>
      </c>
      <c r="L13" s="48" t="s">
        <v>63</v>
      </c>
    </row>
    <row r="14" spans="1:13" ht="30" x14ac:dyDescent="0.25">
      <c r="A14" s="190" t="s">
        <v>64</v>
      </c>
      <c r="B14" s="185" t="s">
        <v>65</v>
      </c>
      <c r="C14" s="191">
        <v>2</v>
      </c>
      <c r="D14" s="186" t="s">
        <v>15</v>
      </c>
      <c r="E14" s="186" t="s">
        <v>66</v>
      </c>
      <c r="F14" s="174">
        <v>2017</v>
      </c>
      <c r="G14" s="174">
        <v>2021</v>
      </c>
      <c r="H14" s="173" t="s">
        <v>67</v>
      </c>
      <c r="I14" s="179">
        <v>14196108.720000001</v>
      </c>
      <c r="J14" s="179">
        <v>12250528</v>
      </c>
      <c r="K14" s="174" t="s">
        <v>29</v>
      </c>
      <c r="L14" s="48" t="s">
        <v>58</v>
      </c>
      <c r="M14" s="59"/>
    </row>
    <row r="15" spans="1:13" ht="33.75" customHeight="1" x14ac:dyDescent="0.25">
      <c r="A15" s="190" t="s">
        <v>68</v>
      </c>
      <c r="B15" s="185" t="s">
        <v>69</v>
      </c>
      <c r="C15" s="192" t="s">
        <v>70</v>
      </c>
      <c r="D15" s="186" t="s">
        <v>15</v>
      </c>
      <c r="E15" s="186" t="s">
        <v>66</v>
      </c>
      <c r="F15" s="174">
        <v>2017</v>
      </c>
      <c r="G15" s="174">
        <v>2020</v>
      </c>
      <c r="H15" s="173" t="s">
        <v>71</v>
      </c>
      <c r="I15" s="179">
        <v>2628246</v>
      </c>
      <c r="J15" s="179">
        <v>2628246</v>
      </c>
      <c r="K15" s="174" t="s">
        <v>40</v>
      </c>
      <c r="L15" s="48" t="s">
        <v>72</v>
      </c>
    </row>
    <row r="16" spans="1:13" ht="30" x14ac:dyDescent="0.25">
      <c r="A16" s="190" t="s">
        <v>73</v>
      </c>
      <c r="B16" s="185" t="s">
        <v>43</v>
      </c>
      <c r="C16" s="191">
        <v>1</v>
      </c>
      <c r="D16" s="186" t="s">
        <v>15</v>
      </c>
      <c r="E16" s="186" t="s">
        <v>66</v>
      </c>
      <c r="F16" s="174">
        <v>2018</v>
      </c>
      <c r="G16" s="174">
        <v>2022</v>
      </c>
      <c r="H16" s="173" t="s">
        <v>74</v>
      </c>
      <c r="I16" s="179">
        <v>4993805</v>
      </c>
      <c r="J16" s="179">
        <v>4993805</v>
      </c>
      <c r="K16" s="174" t="s">
        <v>18</v>
      </c>
      <c r="L16" s="48" t="s">
        <v>58</v>
      </c>
      <c r="M16" s="60"/>
    </row>
    <row r="17" spans="1:13" ht="30" customHeight="1" x14ac:dyDescent="0.25">
      <c r="A17" s="190" t="s">
        <v>75</v>
      </c>
      <c r="B17" s="185" t="s">
        <v>43</v>
      </c>
      <c r="C17" s="191">
        <v>1.8</v>
      </c>
      <c r="D17" s="186" t="s">
        <v>15</v>
      </c>
      <c r="E17" s="186" t="s">
        <v>76</v>
      </c>
      <c r="F17" s="174">
        <v>2017</v>
      </c>
      <c r="G17" s="174">
        <v>2022</v>
      </c>
      <c r="H17" s="173" t="s">
        <v>77</v>
      </c>
      <c r="I17" s="179">
        <v>9977271</v>
      </c>
      <c r="J17" s="179">
        <v>9968144</v>
      </c>
      <c r="K17" s="174" t="s">
        <v>18</v>
      </c>
      <c r="L17" s="48" t="s">
        <v>78</v>
      </c>
      <c r="M17" s="60"/>
    </row>
    <row r="18" spans="1:13" ht="30" x14ac:dyDescent="0.25">
      <c r="A18" s="190" t="s">
        <v>79</v>
      </c>
      <c r="B18" s="185" t="s">
        <v>80</v>
      </c>
      <c r="C18" s="191">
        <v>2</v>
      </c>
      <c r="D18" s="186" t="s">
        <v>15</v>
      </c>
      <c r="E18" s="186" t="s">
        <v>22</v>
      </c>
      <c r="F18" s="174">
        <v>2018</v>
      </c>
      <c r="G18" s="174">
        <v>2022</v>
      </c>
      <c r="H18" s="173" t="s">
        <v>81</v>
      </c>
      <c r="I18" s="179">
        <v>15033205</v>
      </c>
      <c r="J18" s="179">
        <v>9999733</v>
      </c>
      <c r="K18" s="174" t="s">
        <v>29</v>
      </c>
      <c r="L18" s="48" t="s">
        <v>58</v>
      </c>
      <c r="M18" s="61"/>
    </row>
    <row r="19" spans="1:13" ht="32.25" customHeight="1" x14ac:dyDescent="0.25">
      <c r="A19" s="190" t="s">
        <v>82</v>
      </c>
      <c r="B19" s="185" t="s">
        <v>83</v>
      </c>
      <c r="C19" s="191">
        <v>1</v>
      </c>
      <c r="D19" s="186" t="s">
        <v>15</v>
      </c>
      <c r="E19" s="186" t="s">
        <v>66</v>
      </c>
      <c r="F19" s="174">
        <v>2015</v>
      </c>
      <c r="G19" s="174">
        <v>2020</v>
      </c>
      <c r="H19" s="173" t="s">
        <v>84</v>
      </c>
      <c r="I19" s="179">
        <v>5998252</v>
      </c>
      <c r="J19" s="179">
        <v>5998252</v>
      </c>
      <c r="K19" s="174" t="s">
        <v>18</v>
      </c>
      <c r="L19" s="48" t="s">
        <v>85</v>
      </c>
    </row>
    <row r="20" spans="1:13" ht="29.25" customHeight="1" x14ac:dyDescent="0.25">
      <c r="A20" s="190" t="s">
        <v>86</v>
      </c>
      <c r="B20" s="185" t="s">
        <v>87</v>
      </c>
      <c r="C20" s="191">
        <v>1</v>
      </c>
      <c r="D20" s="186" t="s">
        <v>15</v>
      </c>
      <c r="E20" s="186" t="s">
        <v>88</v>
      </c>
      <c r="F20" s="174">
        <v>2018</v>
      </c>
      <c r="G20" s="174">
        <v>2022</v>
      </c>
      <c r="H20" s="173" t="s">
        <v>89</v>
      </c>
      <c r="I20" s="179">
        <v>3998025</v>
      </c>
      <c r="J20" s="179">
        <v>3998025</v>
      </c>
      <c r="K20" s="174" t="s">
        <v>18</v>
      </c>
      <c r="L20" s="48" t="s">
        <v>90</v>
      </c>
    </row>
    <row r="21" spans="1:13" ht="30" x14ac:dyDescent="0.25">
      <c r="A21" s="190" t="s">
        <v>91</v>
      </c>
      <c r="B21" s="185" t="s">
        <v>92</v>
      </c>
      <c r="C21" s="191">
        <v>2</v>
      </c>
      <c r="D21" s="186" t="s">
        <v>15</v>
      </c>
      <c r="E21" s="186" t="s">
        <v>27</v>
      </c>
      <c r="F21" s="174">
        <v>2017</v>
      </c>
      <c r="G21" s="174">
        <v>2020</v>
      </c>
      <c r="H21" s="173" t="s">
        <v>28</v>
      </c>
      <c r="I21" s="179">
        <v>15849490</v>
      </c>
      <c r="J21" s="179">
        <v>11472916</v>
      </c>
      <c r="K21" s="174" t="s">
        <v>18</v>
      </c>
      <c r="L21" s="48" t="s">
        <v>93</v>
      </c>
      <c r="M21" s="59"/>
    </row>
    <row r="22" spans="1:13" ht="30" x14ac:dyDescent="0.25">
      <c r="A22" s="190" t="s">
        <v>94</v>
      </c>
      <c r="B22" s="185" t="s">
        <v>95</v>
      </c>
      <c r="C22" s="191">
        <v>2</v>
      </c>
      <c r="D22" s="186" t="s">
        <v>15</v>
      </c>
      <c r="E22" s="186" t="s">
        <v>44</v>
      </c>
      <c r="F22" s="174">
        <v>2015</v>
      </c>
      <c r="G22" s="174">
        <v>2018</v>
      </c>
      <c r="H22" s="173" t="s">
        <v>96</v>
      </c>
      <c r="I22" s="179">
        <v>35195225</v>
      </c>
      <c r="J22" s="179">
        <v>19999544</v>
      </c>
      <c r="K22" s="174" t="s">
        <v>29</v>
      </c>
      <c r="L22" s="48" t="s">
        <v>97</v>
      </c>
      <c r="M22" s="62"/>
    </row>
    <row r="23" spans="1:13" ht="30.75" customHeight="1" x14ac:dyDescent="0.25">
      <c r="A23" s="190" t="s">
        <v>98</v>
      </c>
      <c r="B23" s="185" t="s">
        <v>95</v>
      </c>
      <c r="C23" s="191"/>
      <c r="D23" s="186" t="s">
        <v>15</v>
      </c>
      <c r="E23" s="186" t="s">
        <v>66</v>
      </c>
      <c r="F23" s="174">
        <v>2017</v>
      </c>
      <c r="G23" s="174">
        <v>2022</v>
      </c>
      <c r="H23" s="173" t="s">
        <v>99</v>
      </c>
      <c r="I23" s="179">
        <v>15000851</v>
      </c>
      <c r="J23" s="178"/>
      <c r="K23" s="174" t="s">
        <v>100</v>
      </c>
      <c r="L23" s="48" t="s">
        <v>101</v>
      </c>
    </row>
    <row r="24" spans="1:13" ht="30" x14ac:dyDescent="0.25">
      <c r="A24" s="190" t="s">
        <v>102</v>
      </c>
      <c r="B24" s="185" t="s">
        <v>47</v>
      </c>
      <c r="C24" s="191">
        <v>1</v>
      </c>
      <c r="D24" s="186" t="s">
        <v>15</v>
      </c>
      <c r="E24" s="186" t="s">
        <v>66</v>
      </c>
      <c r="F24" s="174">
        <v>2017</v>
      </c>
      <c r="G24" s="174">
        <v>2021</v>
      </c>
      <c r="H24" s="173" t="s">
        <v>103</v>
      </c>
      <c r="I24" s="179">
        <v>5038343</v>
      </c>
      <c r="J24" s="179">
        <v>5038343</v>
      </c>
      <c r="K24" s="174" t="s">
        <v>18</v>
      </c>
      <c r="L24" s="48" t="s">
        <v>104</v>
      </c>
    </row>
    <row r="25" spans="1:13" ht="30" x14ac:dyDescent="0.25">
      <c r="A25" s="190" t="s">
        <v>105</v>
      </c>
      <c r="B25" s="185" t="s">
        <v>47</v>
      </c>
      <c r="C25" s="191" t="s">
        <v>33</v>
      </c>
      <c r="D25" s="186" t="s">
        <v>15</v>
      </c>
      <c r="E25" s="186" t="s">
        <v>106</v>
      </c>
      <c r="F25" s="174">
        <v>2018</v>
      </c>
      <c r="G25" s="174">
        <v>2022</v>
      </c>
      <c r="H25" s="173" t="s">
        <v>107</v>
      </c>
      <c r="I25" s="179">
        <v>5074876</v>
      </c>
      <c r="J25" s="179">
        <v>5074876</v>
      </c>
      <c r="K25" s="174" t="s">
        <v>18</v>
      </c>
      <c r="L25" s="48" t="s">
        <v>104</v>
      </c>
    </row>
    <row r="26" spans="1:13" ht="30" x14ac:dyDescent="0.25">
      <c r="A26" s="190" t="s">
        <v>108</v>
      </c>
      <c r="B26" s="185" t="s">
        <v>47</v>
      </c>
      <c r="C26" s="191" t="s">
        <v>33</v>
      </c>
      <c r="D26" s="186" t="s">
        <v>15</v>
      </c>
      <c r="E26" s="186" t="s">
        <v>109</v>
      </c>
      <c r="F26" s="174">
        <v>2020</v>
      </c>
      <c r="G26" s="174">
        <v>2023</v>
      </c>
      <c r="H26" s="173" t="s">
        <v>45</v>
      </c>
      <c r="I26" s="179">
        <v>4999623</v>
      </c>
      <c r="J26" s="179">
        <v>4999623</v>
      </c>
      <c r="K26" s="174" t="s">
        <v>18</v>
      </c>
      <c r="L26" s="48" t="s">
        <v>104</v>
      </c>
    </row>
    <row r="27" spans="1:13" ht="28.5" customHeight="1" x14ac:dyDescent="0.25">
      <c r="A27" s="190" t="s">
        <v>110</v>
      </c>
      <c r="B27" s="185" t="s">
        <v>21</v>
      </c>
      <c r="C27" s="191" t="s">
        <v>33</v>
      </c>
      <c r="D27" s="186" t="s">
        <v>15</v>
      </c>
      <c r="E27" s="186" t="s">
        <v>39</v>
      </c>
      <c r="F27" s="174">
        <v>2016</v>
      </c>
      <c r="G27" s="174">
        <v>2018</v>
      </c>
      <c r="H27" s="173" t="s">
        <v>17</v>
      </c>
      <c r="I27" s="179">
        <v>5900000</v>
      </c>
      <c r="J27" s="179">
        <v>5900000</v>
      </c>
      <c r="K27" s="174" t="s">
        <v>18</v>
      </c>
      <c r="L27" s="48" t="s">
        <v>111</v>
      </c>
    </row>
    <row r="28" spans="1:13" ht="30" x14ac:dyDescent="0.25">
      <c r="A28" s="190" t="s">
        <v>112</v>
      </c>
      <c r="B28" s="185" t="s">
        <v>113</v>
      </c>
      <c r="C28" s="191" t="s">
        <v>33</v>
      </c>
      <c r="D28" s="186" t="s">
        <v>15</v>
      </c>
      <c r="E28" s="186" t="s">
        <v>114</v>
      </c>
      <c r="F28" s="174">
        <v>2017</v>
      </c>
      <c r="G28" s="174">
        <v>2021</v>
      </c>
      <c r="H28" s="173" t="s">
        <v>17</v>
      </c>
      <c r="I28" s="179">
        <v>5900000</v>
      </c>
      <c r="J28" s="179">
        <v>5900000</v>
      </c>
      <c r="K28" s="174" t="s">
        <v>18</v>
      </c>
      <c r="L28" s="48" t="s">
        <v>111</v>
      </c>
    </row>
    <row r="29" spans="1:13" ht="26.25" customHeight="1" x14ac:dyDescent="0.3">
      <c r="A29" s="190" t="s">
        <v>115</v>
      </c>
      <c r="B29" s="185" t="s">
        <v>52</v>
      </c>
      <c r="C29" s="191" t="s">
        <v>116</v>
      </c>
      <c r="D29" s="186" t="s">
        <v>15</v>
      </c>
      <c r="E29" s="186" t="s">
        <v>22</v>
      </c>
      <c r="F29" s="174">
        <v>2016</v>
      </c>
      <c r="G29" s="174">
        <v>2018</v>
      </c>
      <c r="H29" s="173" t="s">
        <v>117</v>
      </c>
      <c r="I29" s="179">
        <v>2800000</v>
      </c>
      <c r="J29" s="179">
        <v>2119090</v>
      </c>
      <c r="K29" s="174" t="s">
        <v>29</v>
      </c>
      <c r="L29" s="48" t="s">
        <v>111</v>
      </c>
      <c r="M29" s="63"/>
    </row>
    <row r="30" spans="1:13" ht="29.25" customHeight="1" x14ac:dyDescent="0.25">
      <c r="A30" s="190" t="s">
        <v>118</v>
      </c>
      <c r="B30" s="185" t="s">
        <v>21</v>
      </c>
      <c r="C30" s="191">
        <v>3</v>
      </c>
      <c r="D30" s="186" t="s">
        <v>15</v>
      </c>
      <c r="E30" s="186" t="s">
        <v>66</v>
      </c>
      <c r="F30" s="174">
        <v>2017</v>
      </c>
      <c r="G30" s="174">
        <v>2022</v>
      </c>
      <c r="H30" s="173" t="s">
        <v>119</v>
      </c>
      <c r="I30" s="179">
        <v>34936215</v>
      </c>
      <c r="J30" s="182">
        <v>24738840</v>
      </c>
      <c r="K30" s="174" t="s">
        <v>18</v>
      </c>
      <c r="L30" s="49" t="s">
        <v>120</v>
      </c>
    </row>
    <row r="31" spans="1:13" ht="28.5" customHeight="1" x14ac:dyDescent="0.25">
      <c r="A31" s="190" t="s">
        <v>121</v>
      </c>
      <c r="B31" s="185" t="s">
        <v>122</v>
      </c>
      <c r="C31" s="191">
        <v>1</v>
      </c>
      <c r="D31" s="186" t="s">
        <v>15</v>
      </c>
      <c r="E31" s="186" t="s">
        <v>44</v>
      </c>
      <c r="F31" s="174">
        <v>2016</v>
      </c>
      <c r="G31" s="174">
        <v>2020</v>
      </c>
      <c r="H31" s="173" t="s">
        <v>123</v>
      </c>
      <c r="I31" s="193">
        <v>5995199</v>
      </c>
      <c r="J31" s="182">
        <v>5573644</v>
      </c>
      <c r="K31" s="174" t="s">
        <v>18</v>
      </c>
      <c r="L31" s="48" t="s">
        <v>124</v>
      </c>
    </row>
    <row r="32" spans="1:13" ht="30" x14ac:dyDescent="0.25">
      <c r="A32" s="190" t="s">
        <v>125</v>
      </c>
      <c r="B32" s="185" t="s">
        <v>126</v>
      </c>
      <c r="C32" s="191">
        <v>5</v>
      </c>
      <c r="D32" s="186" t="s">
        <v>15</v>
      </c>
      <c r="E32" s="186" t="s">
        <v>114</v>
      </c>
      <c r="F32" s="174">
        <v>2017</v>
      </c>
      <c r="G32" s="174">
        <v>2023</v>
      </c>
      <c r="H32" s="173" t="s">
        <v>127</v>
      </c>
      <c r="I32" s="193">
        <v>7736683</v>
      </c>
      <c r="J32" s="182">
        <v>2932554</v>
      </c>
      <c r="K32" s="174" t="s">
        <v>29</v>
      </c>
      <c r="L32" s="48" t="s">
        <v>128</v>
      </c>
      <c r="M32" s="29"/>
    </row>
    <row r="33" spans="1:14" ht="30" x14ac:dyDescent="0.25">
      <c r="A33" s="190" t="s">
        <v>129</v>
      </c>
      <c r="B33" s="185" t="s">
        <v>130</v>
      </c>
      <c r="C33" s="191" t="s">
        <v>131</v>
      </c>
      <c r="D33" s="186" t="s">
        <v>15</v>
      </c>
      <c r="E33" s="186" t="s">
        <v>88</v>
      </c>
      <c r="F33" s="174">
        <v>2020</v>
      </c>
      <c r="G33" s="174">
        <v>2025</v>
      </c>
      <c r="H33" s="173" t="s">
        <v>132</v>
      </c>
      <c r="I33" s="179">
        <v>43929750</v>
      </c>
      <c r="J33" s="182">
        <v>10999999</v>
      </c>
      <c r="K33" s="174" t="s">
        <v>29</v>
      </c>
      <c r="L33" s="48" t="s">
        <v>133</v>
      </c>
      <c r="M33" s="51"/>
    </row>
    <row r="34" spans="1:14" ht="24" customHeight="1" x14ac:dyDescent="0.25">
      <c r="A34" s="190" t="s">
        <v>134</v>
      </c>
      <c r="B34" s="185"/>
      <c r="C34" s="191">
        <v>7</v>
      </c>
      <c r="D34" s="186" t="s">
        <v>15</v>
      </c>
      <c r="E34" s="186" t="s">
        <v>44</v>
      </c>
      <c r="F34" s="174">
        <v>2020</v>
      </c>
      <c r="G34" s="174">
        <v>2024</v>
      </c>
      <c r="H34" s="173" t="s">
        <v>135</v>
      </c>
      <c r="I34" s="179">
        <v>9751722</v>
      </c>
      <c r="J34" s="182">
        <v>6993725</v>
      </c>
      <c r="K34" s="174" t="s">
        <v>29</v>
      </c>
      <c r="L34" s="48" t="s">
        <v>136</v>
      </c>
    </row>
    <row r="35" spans="1:14" ht="27.75" customHeight="1" x14ac:dyDescent="0.25">
      <c r="A35" s="190" t="s">
        <v>137</v>
      </c>
      <c r="B35" s="185" t="s">
        <v>138</v>
      </c>
      <c r="C35" s="191">
        <v>7</v>
      </c>
      <c r="D35" s="186" t="s">
        <v>15</v>
      </c>
      <c r="E35" s="186" t="s">
        <v>106</v>
      </c>
      <c r="F35" s="174">
        <v>2020</v>
      </c>
      <c r="G35" s="174">
        <v>2024</v>
      </c>
      <c r="H35" s="173" t="s">
        <v>139</v>
      </c>
      <c r="I35" s="179">
        <v>4903225</v>
      </c>
      <c r="J35" s="182">
        <v>4399445</v>
      </c>
      <c r="K35" s="174" t="s">
        <v>18</v>
      </c>
      <c r="L35" s="50" t="s">
        <v>140</v>
      </c>
    </row>
    <row r="36" spans="1:14" x14ac:dyDescent="0.25">
      <c r="A36" s="190" t="s">
        <v>141</v>
      </c>
      <c r="B36" s="194"/>
      <c r="C36" s="191">
        <v>9</v>
      </c>
      <c r="D36" s="186" t="s">
        <v>15</v>
      </c>
      <c r="E36" s="186" t="s">
        <v>142</v>
      </c>
      <c r="F36" s="174">
        <v>2018</v>
      </c>
      <c r="G36" s="174">
        <v>2022</v>
      </c>
      <c r="H36" s="173" t="s">
        <v>143</v>
      </c>
      <c r="I36" s="179">
        <v>26022635.280000001</v>
      </c>
      <c r="J36" s="182">
        <v>19262647.699999999</v>
      </c>
      <c r="K36" s="174" t="s">
        <v>29</v>
      </c>
    </row>
    <row r="37" spans="1:14" x14ac:dyDescent="0.25">
      <c r="A37" s="173" t="s">
        <v>144</v>
      </c>
      <c r="B37" s="173" t="s">
        <v>145</v>
      </c>
      <c r="C37" s="195">
        <v>2</v>
      </c>
      <c r="D37" s="186" t="s">
        <v>15</v>
      </c>
      <c r="E37" s="173" t="s">
        <v>66</v>
      </c>
      <c r="F37" s="174">
        <v>2014</v>
      </c>
      <c r="G37" s="174">
        <v>2019</v>
      </c>
      <c r="H37" s="174" t="s">
        <v>146</v>
      </c>
      <c r="I37" s="194"/>
      <c r="J37" s="179">
        <v>22300000</v>
      </c>
      <c r="K37" s="173" t="s">
        <v>147</v>
      </c>
    </row>
    <row r="38" spans="1:14" ht="105" x14ac:dyDescent="0.25">
      <c r="A38" s="196" t="s">
        <v>148</v>
      </c>
      <c r="B38" s="194"/>
      <c r="C38" s="195">
        <v>11</v>
      </c>
      <c r="D38" s="177" t="s">
        <v>149</v>
      </c>
      <c r="E38" s="173" t="s">
        <v>66</v>
      </c>
      <c r="F38" s="197">
        <v>2019</v>
      </c>
      <c r="G38" s="198">
        <v>2021</v>
      </c>
      <c r="H38" s="197" t="s">
        <v>150</v>
      </c>
      <c r="I38" s="199">
        <v>3000000</v>
      </c>
      <c r="J38" s="199">
        <v>3000000</v>
      </c>
      <c r="K38" s="194"/>
    </row>
    <row r="39" spans="1:14" x14ac:dyDescent="0.25">
      <c r="A39" s="185" t="s">
        <v>151</v>
      </c>
      <c r="B39" s="186"/>
      <c r="C39" s="174">
        <v>6</v>
      </c>
      <c r="D39" s="177" t="s">
        <v>149</v>
      </c>
      <c r="E39" s="173" t="s">
        <v>76</v>
      </c>
      <c r="F39" s="174">
        <v>2021</v>
      </c>
      <c r="G39" s="200"/>
      <c r="H39" s="201" t="s">
        <v>81</v>
      </c>
      <c r="I39" s="194"/>
      <c r="J39" s="202">
        <v>1700000</v>
      </c>
      <c r="K39" s="173" t="s">
        <v>152</v>
      </c>
    </row>
    <row r="40" spans="1:14" ht="45" x14ac:dyDescent="0.25">
      <c r="A40" s="15" t="s">
        <v>153</v>
      </c>
      <c r="C40" s="18">
        <v>1</v>
      </c>
      <c r="D40" s="19" t="s">
        <v>149</v>
      </c>
      <c r="E40" s="2" t="s">
        <v>154</v>
      </c>
      <c r="F40" s="18">
        <v>2020</v>
      </c>
      <c r="G40" s="18">
        <v>2023</v>
      </c>
      <c r="H40" s="65" t="s">
        <v>139</v>
      </c>
      <c r="I40" s="30" t="s">
        <v>155</v>
      </c>
      <c r="J40" s="30" t="s">
        <v>155</v>
      </c>
    </row>
    <row r="41" spans="1:14" ht="75" x14ac:dyDescent="0.25">
      <c r="A41" s="15" t="s">
        <v>156</v>
      </c>
      <c r="C41" s="18">
        <v>1</v>
      </c>
      <c r="D41" s="19" t="s">
        <v>149</v>
      </c>
      <c r="E41" s="2" t="s">
        <v>154</v>
      </c>
      <c r="F41" s="18">
        <v>2020</v>
      </c>
      <c r="G41" s="18">
        <v>2024</v>
      </c>
      <c r="H41" s="18" t="s">
        <v>157</v>
      </c>
      <c r="I41" s="18" t="s">
        <v>158</v>
      </c>
      <c r="J41" s="18" t="s">
        <v>158</v>
      </c>
    </row>
    <row r="43" spans="1:14" x14ac:dyDescent="0.25">
      <c r="C43" s="18"/>
      <c r="F43" s="23"/>
      <c r="J43" s="18"/>
      <c r="L43" s="66"/>
      <c r="M43" s="23"/>
    </row>
    <row r="44" spans="1:14" x14ac:dyDescent="0.25">
      <c r="B44" s="43" t="s">
        <v>159</v>
      </c>
      <c r="C44" s="18"/>
      <c r="D44" s="14"/>
      <c r="E44" s="2"/>
      <c r="F44" s="5"/>
      <c r="L44" s="14"/>
      <c r="M44" s="17"/>
    </row>
    <row r="45" spans="1:14" x14ac:dyDescent="0.25">
      <c r="C45" s="18"/>
      <c r="D45" s="14"/>
      <c r="F45" s="19"/>
      <c r="J45" s="46"/>
      <c r="K45" s="46"/>
      <c r="L45" s="46"/>
      <c r="N45" s="23"/>
    </row>
    <row r="46" spans="1:14" x14ac:dyDescent="0.25">
      <c r="C46" s="18"/>
    </row>
    <row r="47" spans="1:14" x14ac:dyDescent="0.25">
      <c r="B47" s="42" t="s">
        <v>160</v>
      </c>
      <c r="C47" s="18"/>
      <c r="F47" s="19"/>
      <c r="L47" s="20"/>
    </row>
    <row r="48" spans="1:14" x14ac:dyDescent="0.25">
      <c r="B48" s="42" t="s">
        <v>47</v>
      </c>
      <c r="C48" s="18"/>
      <c r="F48" s="19"/>
      <c r="L48" s="20"/>
    </row>
    <row r="49" spans="3:3" x14ac:dyDescent="0.25">
      <c r="C49" s="18"/>
    </row>
    <row r="50" spans="3:3" x14ac:dyDescent="0.25">
      <c r="C50" s="18"/>
    </row>
    <row r="51" spans="3:3" x14ac:dyDescent="0.25">
      <c r="C51" s="18"/>
    </row>
    <row r="52" spans="3:3" x14ac:dyDescent="0.25">
      <c r="C52" s="18"/>
    </row>
    <row r="53" spans="3:3" x14ac:dyDescent="0.25">
      <c r="C53" s="18"/>
    </row>
    <row r="54" spans="3:3" x14ac:dyDescent="0.25">
      <c r="C54" s="18"/>
    </row>
    <row r="55" spans="3:3" x14ac:dyDescent="0.25">
      <c r="C55" s="18"/>
    </row>
    <row r="56" spans="3:3" x14ac:dyDescent="0.25">
      <c r="C56" s="18"/>
    </row>
  </sheetData>
  <phoneticPr fontId="5" type="noConversion"/>
  <dataValidations count="1">
    <dataValidation type="list" allowBlank="1" showInputMessage="1" showErrorMessage="1" sqref="H38" xr:uid="{492B612E-6B0B-4918-BDE1-35C8AA9E52FA}">
      <formula1>"TRL 1-3, TRL 4-5, TRL 6-7, TRL 8-9"</formula1>
    </dataValidation>
  </dataValidations>
  <hyperlinks>
    <hyperlink ref="L30" r:id="rId1" display="https://cordis.europa.eu/programme/id/H2020_BBI.VC1.F1/en" xr:uid="{A11E21B9-4258-409B-897E-BC9C5665CF2A}"/>
  </hyperlinks>
  <pageMargins left="0.7" right="0.7" top="0.75" bottom="0.75" header="0.3" footer="0.3"/>
  <pageSetup paperSize="9" scale="5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6CE6-DC02-44D9-BF50-76842349CD6C}">
  <sheetPr>
    <pageSetUpPr fitToPage="1"/>
  </sheetPr>
  <dimension ref="A1:K63"/>
  <sheetViews>
    <sheetView tabSelected="1" zoomScale="90" zoomScaleNormal="90" workbookViewId="0"/>
  </sheetViews>
  <sheetFormatPr defaultRowHeight="15" x14ac:dyDescent="0.25"/>
  <cols>
    <col min="1" max="1" width="39.7109375" customWidth="1"/>
    <col min="2" max="2" width="15.5703125" customWidth="1"/>
    <col min="3" max="3" width="21.42578125" customWidth="1"/>
    <col min="4" max="4" width="19.5703125" customWidth="1"/>
    <col min="5" max="5" width="24" customWidth="1"/>
    <col min="6" max="6" width="12" customWidth="1"/>
    <col min="7" max="7" width="9.7109375" customWidth="1"/>
    <col min="8" max="8" width="9.140625" bestFit="1" customWidth="1"/>
    <col min="9" max="9" width="13.42578125" customWidth="1"/>
    <col min="10" max="10" width="13.140625" customWidth="1"/>
    <col min="11" max="11" width="19.28515625" bestFit="1" customWidth="1"/>
    <col min="12" max="12" width="60" bestFit="1" customWidth="1"/>
  </cols>
  <sheetData>
    <row r="1" spans="1:11" s="12" customFormat="1" ht="39.75" customHeight="1" x14ac:dyDescent="0.5">
      <c r="A1" s="34" t="s">
        <v>114</v>
      </c>
    </row>
    <row r="2" spans="1:11" s="1" customFormat="1" ht="40.5" customHeight="1" x14ac:dyDescent="0.25">
      <c r="A2" s="8" t="s">
        <v>1</v>
      </c>
      <c r="B2" s="27" t="s">
        <v>3</v>
      </c>
      <c r="C2" s="8" t="s">
        <v>4</v>
      </c>
      <c r="D2" s="9" t="s">
        <v>162</v>
      </c>
      <c r="E2" s="8" t="s">
        <v>163</v>
      </c>
      <c r="F2" s="8" t="s">
        <v>6</v>
      </c>
      <c r="G2" s="9" t="s">
        <v>7</v>
      </c>
      <c r="H2" s="9" t="s">
        <v>8</v>
      </c>
      <c r="I2" s="8" t="s">
        <v>9</v>
      </c>
      <c r="J2" s="9" t="s">
        <v>164</v>
      </c>
      <c r="K2" s="9" t="s">
        <v>11</v>
      </c>
    </row>
    <row r="3" spans="1:11" ht="60" x14ac:dyDescent="0.25">
      <c r="A3" s="185" t="s">
        <v>165</v>
      </c>
      <c r="B3" s="187">
        <v>8</v>
      </c>
      <c r="C3" s="185" t="s">
        <v>166</v>
      </c>
      <c r="D3" s="186" t="s">
        <v>114</v>
      </c>
      <c r="E3" s="185" t="s">
        <v>167</v>
      </c>
      <c r="F3" s="174">
        <v>2017</v>
      </c>
      <c r="G3" s="174">
        <v>2020</v>
      </c>
      <c r="H3" s="174" t="s">
        <v>168</v>
      </c>
      <c r="I3" s="179">
        <v>729506</v>
      </c>
      <c r="J3" s="179">
        <v>539078</v>
      </c>
      <c r="K3" s="185" t="s">
        <v>169</v>
      </c>
    </row>
    <row r="4" spans="1:11" ht="45" x14ac:dyDescent="0.25">
      <c r="A4" s="185" t="s">
        <v>170</v>
      </c>
      <c r="B4" s="187">
        <v>8</v>
      </c>
      <c r="C4" s="185" t="s">
        <v>166</v>
      </c>
      <c r="D4" s="186" t="s">
        <v>114</v>
      </c>
      <c r="E4" s="185" t="s">
        <v>171</v>
      </c>
      <c r="F4" s="174">
        <v>2018</v>
      </c>
      <c r="G4" s="174">
        <v>2021</v>
      </c>
      <c r="H4" s="174" t="s">
        <v>168</v>
      </c>
      <c r="I4" s="179">
        <v>715000</v>
      </c>
      <c r="J4" s="179">
        <v>599500</v>
      </c>
      <c r="K4" s="185" t="s">
        <v>169</v>
      </c>
    </row>
    <row r="5" spans="1:11" ht="45" x14ac:dyDescent="0.25">
      <c r="A5" s="185" t="s">
        <v>172</v>
      </c>
      <c r="B5" s="187">
        <v>4</v>
      </c>
      <c r="C5" s="185" t="s">
        <v>166</v>
      </c>
      <c r="D5" s="186" t="s">
        <v>114</v>
      </c>
      <c r="E5" s="185" t="s">
        <v>173</v>
      </c>
      <c r="F5" s="174">
        <v>2019</v>
      </c>
      <c r="G5" s="174">
        <v>2022</v>
      </c>
      <c r="H5" s="174" t="s">
        <v>168</v>
      </c>
      <c r="I5" s="179">
        <v>612096</v>
      </c>
      <c r="J5" s="179">
        <v>498959</v>
      </c>
      <c r="K5" s="185" t="s">
        <v>169</v>
      </c>
    </row>
    <row r="6" spans="1:11" ht="45" x14ac:dyDescent="0.25">
      <c r="A6" s="185" t="s">
        <v>174</v>
      </c>
      <c r="B6" s="187">
        <v>1</v>
      </c>
      <c r="C6" s="185" t="s">
        <v>166</v>
      </c>
      <c r="D6" s="186" t="s">
        <v>114</v>
      </c>
      <c r="E6" s="185" t="s">
        <v>175</v>
      </c>
      <c r="F6" s="174">
        <v>2017</v>
      </c>
      <c r="G6" s="174">
        <v>2021</v>
      </c>
      <c r="H6" s="174" t="s">
        <v>168</v>
      </c>
      <c r="I6" s="179">
        <v>440484</v>
      </c>
      <c r="J6" s="179">
        <v>352387</v>
      </c>
      <c r="K6" s="185" t="s">
        <v>169</v>
      </c>
    </row>
    <row r="7" spans="1:11" ht="45" x14ac:dyDescent="0.25">
      <c r="A7" s="185" t="s">
        <v>176</v>
      </c>
      <c r="B7" s="187">
        <v>4</v>
      </c>
      <c r="C7" s="185" t="s">
        <v>166</v>
      </c>
      <c r="D7" s="186" t="s">
        <v>114</v>
      </c>
      <c r="E7" s="185" t="s">
        <v>177</v>
      </c>
      <c r="F7" s="174">
        <v>2020</v>
      </c>
      <c r="G7" s="174">
        <v>2021</v>
      </c>
      <c r="H7" s="174" t="s">
        <v>168</v>
      </c>
      <c r="I7" s="179" t="s">
        <v>178</v>
      </c>
      <c r="J7" s="179" t="s">
        <v>178</v>
      </c>
      <c r="K7" s="185" t="s">
        <v>169</v>
      </c>
    </row>
    <row r="8" spans="1:11" ht="45" x14ac:dyDescent="0.25">
      <c r="A8" s="185" t="s">
        <v>179</v>
      </c>
      <c r="B8" s="187">
        <v>1</v>
      </c>
      <c r="C8" s="185" t="s">
        <v>166</v>
      </c>
      <c r="D8" s="186" t="s">
        <v>114</v>
      </c>
      <c r="E8" s="185" t="s">
        <v>167</v>
      </c>
      <c r="F8" s="174">
        <v>2019</v>
      </c>
      <c r="G8" s="174">
        <v>2021</v>
      </c>
      <c r="H8" s="174" t="s">
        <v>168</v>
      </c>
      <c r="I8" s="179">
        <v>581927</v>
      </c>
      <c r="J8" s="179">
        <v>439673</v>
      </c>
      <c r="K8" s="185" t="s">
        <v>169</v>
      </c>
    </row>
    <row r="9" spans="1:11" ht="45" x14ac:dyDescent="0.25">
      <c r="A9" s="185" t="s">
        <v>180</v>
      </c>
      <c r="B9" s="187">
        <v>4</v>
      </c>
      <c r="C9" s="185" t="s">
        <v>166</v>
      </c>
      <c r="D9" s="186" t="s">
        <v>114</v>
      </c>
      <c r="E9" s="185" t="s">
        <v>181</v>
      </c>
      <c r="F9" s="174">
        <v>2020</v>
      </c>
      <c r="G9" s="174">
        <v>2023</v>
      </c>
      <c r="H9" s="174" t="s">
        <v>168</v>
      </c>
      <c r="I9" s="179">
        <v>595808</v>
      </c>
      <c r="J9" s="179">
        <v>506388</v>
      </c>
      <c r="K9" s="185" t="s">
        <v>169</v>
      </c>
    </row>
    <row r="10" spans="1:11" ht="60" x14ac:dyDescent="0.25">
      <c r="A10" s="185" t="s">
        <v>182</v>
      </c>
      <c r="B10" s="174">
        <v>8</v>
      </c>
      <c r="C10" s="185" t="s">
        <v>166</v>
      </c>
      <c r="D10" s="186" t="s">
        <v>114</v>
      </c>
      <c r="E10" s="185" t="s">
        <v>183</v>
      </c>
      <c r="F10" s="174">
        <v>2019</v>
      </c>
      <c r="G10" s="174">
        <v>2022</v>
      </c>
      <c r="H10" s="174" t="s">
        <v>168</v>
      </c>
      <c r="I10" s="179">
        <v>781332</v>
      </c>
      <c r="J10" s="179">
        <v>646673</v>
      </c>
      <c r="K10" s="185" t="s">
        <v>169</v>
      </c>
    </row>
    <row r="11" spans="1:11" ht="45" x14ac:dyDescent="0.25">
      <c r="A11" s="185" t="s">
        <v>184</v>
      </c>
      <c r="B11" s="174">
        <v>4</v>
      </c>
      <c r="C11" s="185" t="s">
        <v>166</v>
      </c>
      <c r="D11" s="186" t="s">
        <v>114</v>
      </c>
      <c r="E11" s="185" t="s">
        <v>185</v>
      </c>
      <c r="F11" s="174">
        <v>2018</v>
      </c>
      <c r="G11" s="174">
        <v>2021</v>
      </c>
      <c r="H11" s="174" t="s">
        <v>168</v>
      </c>
      <c r="I11" s="179">
        <v>482983</v>
      </c>
      <c r="J11" s="179">
        <v>401497</v>
      </c>
      <c r="K11" s="185" t="s">
        <v>169</v>
      </c>
    </row>
    <row r="12" spans="1:11" ht="45" x14ac:dyDescent="0.25">
      <c r="A12" s="185" t="s">
        <v>186</v>
      </c>
      <c r="B12" s="174">
        <v>4</v>
      </c>
      <c r="C12" s="185" t="s">
        <v>166</v>
      </c>
      <c r="D12" s="186" t="s">
        <v>114</v>
      </c>
      <c r="E12" s="185" t="s">
        <v>187</v>
      </c>
      <c r="F12" s="174">
        <v>2019</v>
      </c>
      <c r="G12" s="174">
        <v>2020</v>
      </c>
      <c r="H12" s="174" t="s">
        <v>168</v>
      </c>
      <c r="I12" s="179">
        <v>353919</v>
      </c>
      <c r="J12" s="179">
        <v>298221</v>
      </c>
      <c r="K12" s="185" t="s">
        <v>169</v>
      </c>
    </row>
    <row r="13" spans="1:11" ht="45" x14ac:dyDescent="0.25">
      <c r="A13" s="185" t="s">
        <v>188</v>
      </c>
      <c r="B13" s="174">
        <v>4</v>
      </c>
      <c r="C13" s="185" t="s">
        <v>166</v>
      </c>
      <c r="D13" s="186" t="s">
        <v>114</v>
      </c>
      <c r="E13" s="185" t="s">
        <v>189</v>
      </c>
      <c r="F13" s="174">
        <v>2020</v>
      </c>
      <c r="G13" s="174">
        <v>2023</v>
      </c>
      <c r="H13" s="174" t="s">
        <v>168</v>
      </c>
      <c r="I13" s="179">
        <v>561739</v>
      </c>
      <c r="J13" s="179">
        <v>461018</v>
      </c>
      <c r="K13" s="185" t="s">
        <v>169</v>
      </c>
    </row>
    <row r="14" spans="1:11" ht="45" x14ac:dyDescent="0.25">
      <c r="A14" s="185" t="s">
        <v>190</v>
      </c>
      <c r="B14" s="174">
        <v>9</v>
      </c>
      <c r="C14" s="185" t="s">
        <v>166</v>
      </c>
      <c r="D14" s="186" t="s">
        <v>114</v>
      </c>
      <c r="E14" s="185" t="s">
        <v>167</v>
      </c>
      <c r="F14" s="174">
        <v>2019</v>
      </c>
      <c r="G14" s="174">
        <v>2022</v>
      </c>
      <c r="H14" s="174" t="s">
        <v>191</v>
      </c>
      <c r="I14" s="179">
        <v>1185627</v>
      </c>
      <c r="J14" s="179">
        <v>566352</v>
      </c>
      <c r="K14" s="185" t="s">
        <v>169</v>
      </c>
    </row>
    <row r="15" spans="1:11" ht="45" x14ac:dyDescent="0.25">
      <c r="A15" s="185" t="s">
        <v>192</v>
      </c>
      <c r="B15" s="174">
        <v>9</v>
      </c>
      <c r="C15" s="185" t="s">
        <v>166</v>
      </c>
      <c r="D15" s="186" t="s">
        <v>114</v>
      </c>
      <c r="E15" s="185" t="s">
        <v>175</v>
      </c>
      <c r="F15" s="174">
        <v>2021</v>
      </c>
      <c r="G15" s="174">
        <v>2023</v>
      </c>
      <c r="H15" s="174" t="s">
        <v>191</v>
      </c>
      <c r="I15" s="179">
        <v>1647096</v>
      </c>
      <c r="J15" s="179">
        <v>937856</v>
      </c>
      <c r="K15" s="185" t="s">
        <v>169</v>
      </c>
    </row>
    <row r="16" spans="1:11" ht="75" x14ac:dyDescent="0.25">
      <c r="A16" s="185" t="s">
        <v>193</v>
      </c>
      <c r="B16" s="174">
        <v>4</v>
      </c>
      <c r="C16" s="185" t="s">
        <v>166</v>
      </c>
      <c r="D16" s="186" t="s">
        <v>114</v>
      </c>
      <c r="E16" s="185" t="s">
        <v>194</v>
      </c>
      <c r="F16" s="174">
        <v>2017</v>
      </c>
      <c r="G16" s="174">
        <v>2020</v>
      </c>
      <c r="H16" s="174" t="s">
        <v>168</v>
      </c>
      <c r="I16" s="179">
        <v>726388</v>
      </c>
      <c r="J16" s="179">
        <v>549744</v>
      </c>
      <c r="K16" s="185" t="s">
        <v>169</v>
      </c>
    </row>
    <row r="17" spans="1:11" ht="60" x14ac:dyDescent="0.25">
      <c r="A17" s="185" t="s">
        <v>195</v>
      </c>
      <c r="B17" s="188" t="s">
        <v>196</v>
      </c>
      <c r="C17" s="185" t="s">
        <v>166</v>
      </c>
      <c r="D17" s="186" t="s">
        <v>114</v>
      </c>
      <c r="E17" s="185" t="s">
        <v>197</v>
      </c>
      <c r="F17" s="174">
        <v>2018</v>
      </c>
      <c r="G17" s="174">
        <v>2022</v>
      </c>
      <c r="H17" s="174" t="s">
        <v>168</v>
      </c>
      <c r="I17" s="179">
        <v>4518123</v>
      </c>
      <c r="J17" s="179">
        <v>3138319</v>
      </c>
      <c r="K17" s="185" t="s">
        <v>169</v>
      </c>
    </row>
    <row r="18" spans="1:11" ht="45" x14ac:dyDescent="0.25">
      <c r="A18" s="185" t="s">
        <v>198</v>
      </c>
      <c r="B18" s="189" t="s">
        <v>199</v>
      </c>
      <c r="C18" s="185" t="s">
        <v>166</v>
      </c>
      <c r="D18" s="186" t="s">
        <v>114</v>
      </c>
      <c r="E18" s="185" t="s">
        <v>194</v>
      </c>
      <c r="F18" s="174">
        <v>2018</v>
      </c>
      <c r="G18" s="174">
        <v>2021</v>
      </c>
      <c r="H18" s="174" t="s">
        <v>168</v>
      </c>
      <c r="I18" s="179" t="s">
        <v>178</v>
      </c>
      <c r="J18" s="179" t="s">
        <v>178</v>
      </c>
      <c r="K18" s="185" t="s">
        <v>169</v>
      </c>
    </row>
    <row r="19" spans="1:11" ht="60" x14ac:dyDescent="0.25">
      <c r="A19" s="185" t="s">
        <v>200</v>
      </c>
      <c r="B19" s="174">
        <v>1</v>
      </c>
      <c r="C19" s="185" t="s">
        <v>166</v>
      </c>
      <c r="D19" s="186" t="s">
        <v>114</v>
      </c>
      <c r="E19" s="185" t="s">
        <v>181</v>
      </c>
      <c r="F19" s="174">
        <v>2017</v>
      </c>
      <c r="G19" s="174">
        <v>2021</v>
      </c>
      <c r="H19" s="174" t="s">
        <v>168</v>
      </c>
      <c r="I19" s="179" t="s">
        <v>178</v>
      </c>
      <c r="J19" s="179" t="s">
        <v>178</v>
      </c>
      <c r="K19" s="185" t="s">
        <v>169</v>
      </c>
    </row>
    <row r="20" spans="1:11" ht="45" x14ac:dyDescent="0.25">
      <c r="A20" s="185" t="s">
        <v>201</v>
      </c>
      <c r="B20" s="174">
        <v>4</v>
      </c>
      <c r="C20" s="185" t="s">
        <v>166</v>
      </c>
      <c r="D20" s="186" t="s">
        <v>114</v>
      </c>
      <c r="E20" s="185" t="s">
        <v>202</v>
      </c>
      <c r="F20" s="174">
        <v>2017</v>
      </c>
      <c r="G20" s="174">
        <v>2020</v>
      </c>
      <c r="H20" s="174" t="s">
        <v>168</v>
      </c>
      <c r="I20" s="179" t="s">
        <v>178</v>
      </c>
      <c r="J20" s="179" t="s">
        <v>178</v>
      </c>
      <c r="K20" s="185" t="s">
        <v>169</v>
      </c>
    </row>
    <row r="21" spans="1:11" ht="45" x14ac:dyDescent="0.25">
      <c r="A21" s="185" t="s">
        <v>203</v>
      </c>
      <c r="B21" s="188" t="s">
        <v>196</v>
      </c>
      <c r="C21" s="185" t="s">
        <v>166</v>
      </c>
      <c r="D21" s="186" t="s">
        <v>114</v>
      </c>
      <c r="E21" s="185" t="s">
        <v>204</v>
      </c>
      <c r="F21" s="174">
        <v>2020</v>
      </c>
      <c r="G21" s="174">
        <v>2021</v>
      </c>
      <c r="H21" s="174" t="s">
        <v>168</v>
      </c>
      <c r="I21" s="179" t="s">
        <v>178</v>
      </c>
      <c r="J21" s="179" t="s">
        <v>178</v>
      </c>
      <c r="K21" s="185" t="s">
        <v>169</v>
      </c>
    </row>
    <row r="22" spans="1:11" ht="45" x14ac:dyDescent="0.25">
      <c r="A22" s="185" t="s">
        <v>205</v>
      </c>
      <c r="B22" s="174">
        <v>2</v>
      </c>
      <c r="C22" s="185" t="s">
        <v>166</v>
      </c>
      <c r="D22" s="186" t="s">
        <v>114</v>
      </c>
      <c r="E22" s="185" t="s">
        <v>181</v>
      </c>
      <c r="F22" s="174">
        <v>2019</v>
      </c>
      <c r="G22" s="174">
        <v>2023</v>
      </c>
      <c r="H22" s="174" t="s">
        <v>191</v>
      </c>
      <c r="I22" s="179">
        <v>9000000</v>
      </c>
      <c r="J22" s="179">
        <v>4050000</v>
      </c>
      <c r="K22" s="185" t="s">
        <v>169</v>
      </c>
    </row>
    <row r="23" spans="1:11" ht="45" x14ac:dyDescent="0.25">
      <c r="A23" s="185" t="s">
        <v>206</v>
      </c>
      <c r="B23" s="174">
        <v>9</v>
      </c>
      <c r="C23" s="185" t="s">
        <v>166</v>
      </c>
      <c r="D23" s="186" t="s">
        <v>114</v>
      </c>
      <c r="E23" s="185" t="s">
        <v>207</v>
      </c>
      <c r="F23" s="174"/>
      <c r="G23" s="174"/>
      <c r="H23" s="174" t="s">
        <v>191</v>
      </c>
      <c r="I23" s="179" t="s">
        <v>178</v>
      </c>
      <c r="J23" s="179" t="s">
        <v>178</v>
      </c>
      <c r="K23" s="185" t="s">
        <v>169</v>
      </c>
    </row>
    <row r="24" spans="1:11" x14ac:dyDescent="0.25">
      <c r="A24" s="185" t="s">
        <v>208</v>
      </c>
      <c r="B24" s="174">
        <v>3</v>
      </c>
      <c r="C24" s="186" t="s">
        <v>209</v>
      </c>
      <c r="D24" s="186" t="s">
        <v>114</v>
      </c>
      <c r="E24" s="185" t="s">
        <v>210</v>
      </c>
      <c r="F24" s="174"/>
      <c r="G24" s="174">
        <v>2025</v>
      </c>
      <c r="H24" s="174" t="s">
        <v>81</v>
      </c>
      <c r="I24" s="179" t="s">
        <v>178</v>
      </c>
      <c r="J24" s="179" t="s">
        <v>178</v>
      </c>
      <c r="K24" s="186" t="s">
        <v>211</v>
      </c>
    </row>
    <row r="25" spans="1:11" x14ac:dyDescent="0.25">
      <c r="A25" s="185" t="s">
        <v>212</v>
      </c>
      <c r="B25" s="174">
        <v>3</v>
      </c>
      <c r="C25" s="186" t="s">
        <v>209</v>
      </c>
      <c r="D25" s="186" t="s">
        <v>114</v>
      </c>
      <c r="E25" s="185" t="s">
        <v>213</v>
      </c>
      <c r="F25" s="174">
        <v>2020</v>
      </c>
      <c r="G25" s="174"/>
      <c r="H25" s="174" t="s">
        <v>81</v>
      </c>
      <c r="I25" s="179">
        <v>40000000</v>
      </c>
      <c r="J25" s="179">
        <v>0</v>
      </c>
      <c r="K25" s="186" t="s">
        <v>211</v>
      </c>
    </row>
    <row r="26" spans="1:11" ht="45" x14ac:dyDescent="0.25">
      <c r="A26" s="185" t="s">
        <v>214</v>
      </c>
      <c r="B26" s="174">
        <v>8</v>
      </c>
      <c r="C26" s="185" t="s">
        <v>166</v>
      </c>
      <c r="D26" s="186" t="s">
        <v>114</v>
      </c>
      <c r="E26" s="185" t="s">
        <v>175</v>
      </c>
      <c r="F26" s="174">
        <v>2018</v>
      </c>
      <c r="G26" s="174">
        <v>2021</v>
      </c>
      <c r="H26" s="174" t="s">
        <v>168</v>
      </c>
      <c r="I26" s="179">
        <v>1605039</v>
      </c>
      <c r="J26" s="179">
        <v>853374</v>
      </c>
      <c r="K26" s="185" t="s">
        <v>169</v>
      </c>
    </row>
    <row r="27" spans="1:11" ht="45" x14ac:dyDescent="0.25">
      <c r="A27" s="185" t="s">
        <v>215</v>
      </c>
      <c r="B27" s="174">
        <v>4</v>
      </c>
      <c r="C27" s="185" t="s">
        <v>166</v>
      </c>
      <c r="D27" s="186" t="s">
        <v>114</v>
      </c>
      <c r="E27" s="185" t="s">
        <v>216</v>
      </c>
      <c r="F27" s="174">
        <v>2018</v>
      </c>
      <c r="G27" s="174">
        <v>2021</v>
      </c>
      <c r="H27" s="174" t="s">
        <v>168</v>
      </c>
      <c r="I27" s="179">
        <v>859491</v>
      </c>
      <c r="J27" s="179">
        <v>697015</v>
      </c>
      <c r="K27" s="185" t="s">
        <v>169</v>
      </c>
    </row>
    <row r="28" spans="1:11" ht="60" x14ac:dyDescent="0.25">
      <c r="A28" s="185" t="s">
        <v>217</v>
      </c>
      <c r="B28" s="188" t="s">
        <v>196</v>
      </c>
      <c r="C28" s="185" t="s">
        <v>166</v>
      </c>
      <c r="D28" s="186" t="s">
        <v>114</v>
      </c>
      <c r="E28" s="185" t="s">
        <v>218</v>
      </c>
      <c r="F28" s="174">
        <v>2016</v>
      </c>
      <c r="G28" s="174">
        <v>2019</v>
      </c>
      <c r="H28" s="174" t="s">
        <v>168</v>
      </c>
      <c r="I28" s="179">
        <v>712667</v>
      </c>
      <c r="J28" s="179">
        <v>592719</v>
      </c>
      <c r="K28" s="185" t="s">
        <v>169</v>
      </c>
    </row>
    <row r="29" spans="1:11" ht="45" x14ac:dyDescent="0.25">
      <c r="A29" s="185" t="s">
        <v>219</v>
      </c>
      <c r="B29" s="174">
        <v>7</v>
      </c>
      <c r="C29" s="185" t="s">
        <v>166</v>
      </c>
      <c r="D29" s="186" t="s">
        <v>114</v>
      </c>
      <c r="E29" s="185" t="s">
        <v>218</v>
      </c>
      <c r="F29" s="174">
        <v>2016</v>
      </c>
      <c r="G29" s="174">
        <v>2019</v>
      </c>
      <c r="H29" s="174" t="s">
        <v>168</v>
      </c>
      <c r="I29" s="179">
        <v>469730</v>
      </c>
      <c r="J29" s="179">
        <v>469730</v>
      </c>
      <c r="K29" s="185" t="s">
        <v>169</v>
      </c>
    </row>
    <row r="30" spans="1:11" ht="45" x14ac:dyDescent="0.25">
      <c r="A30" s="185" t="s">
        <v>220</v>
      </c>
      <c r="B30" s="188" t="s">
        <v>221</v>
      </c>
      <c r="C30" s="185" t="s">
        <v>166</v>
      </c>
      <c r="D30" s="186" t="s">
        <v>114</v>
      </c>
      <c r="E30" s="185" t="s">
        <v>181</v>
      </c>
      <c r="F30" s="174">
        <v>2016</v>
      </c>
      <c r="G30" s="174">
        <v>2019</v>
      </c>
      <c r="H30" s="174" t="s">
        <v>191</v>
      </c>
      <c r="I30" s="179">
        <v>817238</v>
      </c>
      <c r="J30" s="179">
        <v>682262</v>
      </c>
      <c r="K30" s="185" t="s">
        <v>169</v>
      </c>
    </row>
    <row r="31" spans="1:11" ht="60" x14ac:dyDescent="0.25">
      <c r="A31" s="185" t="s">
        <v>222</v>
      </c>
      <c r="B31" s="174">
        <v>8</v>
      </c>
      <c r="C31" s="185" t="s">
        <v>166</v>
      </c>
      <c r="D31" s="186" t="s">
        <v>114</v>
      </c>
      <c r="E31" s="185" t="s">
        <v>175</v>
      </c>
      <c r="F31" s="174">
        <v>2019</v>
      </c>
      <c r="G31" s="174">
        <v>2021</v>
      </c>
      <c r="H31" s="174" t="s">
        <v>168</v>
      </c>
      <c r="I31" s="179">
        <v>806803</v>
      </c>
      <c r="J31" s="179">
        <v>453027</v>
      </c>
      <c r="K31" s="185" t="s">
        <v>169</v>
      </c>
    </row>
    <row r="32" spans="1:11" ht="45" x14ac:dyDescent="0.25">
      <c r="A32" s="185" t="s">
        <v>223</v>
      </c>
      <c r="B32" s="174">
        <v>8</v>
      </c>
      <c r="C32" s="185" t="s">
        <v>166</v>
      </c>
      <c r="D32" s="186" t="s">
        <v>114</v>
      </c>
      <c r="E32" s="185" t="s">
        <v>224</v>
      </c>
      <c r="F32" s="174">
        <v>2016</v>
      </c>
      <c r="G32" s="174">
        <v>2019</v>
      </c>
      <c r="H32" s="174" t="s">
        <v>168</v>
      </c>
      <c r="I32" s="179">
        <v>626329</v>
      </c>
      <c r="J32" s="179">
        <v>470353</v>
      </c>
      <c r="K32" s="185" t="s">
        <v>169</v>
      </c>
    </row>
    <row r="33" spans="1:11" ht="45" x14ac:dyDescent="0.25">
      <c r="A33" s="185" t="s">
        <v>225</v>
      </c>
      <c r="B33" s="174">
        <v>8</v>
      </c>
      <c r="C33" s="185" t="s">
        <v>166</v>
      </c>
      <c r="D33" s="186" t="s">
        <v>114</v>
      </c>
      <c r="E33" s="185" t="s">
        <v>226</v>
      </c>
      <c r="F33" s="174">
        <v>2016</v>
      </c>
      <c r="G33" s="174">
        <v>2019</v>
      </c>
      <c r="H33" s="174" t="s">
        <v>168</v>
      </c>
      <c r="I33" s="179">
        <v>978646</v>
      </c>
      <c r="J33" s="179">
        <v>733700</v>
      </c>
      <c r="K33" s="185" t="s">
        <v>169</v>
      </c>
    </row>
    <row r="34" spans="1:11" ht="45" x14ac:dyDescent="0.25">
      <c r="A34" s="185" t="s">
        <v>227</v>
      </c>
      <c r="B34" s="174">
        <v>7</v>
      </c>
      <c r="C34" s="185" t="s">
        <v>166</v>
      </c>
      <c r="D34" s="186" t="s">
        <v>114</v>
      </c>
      <c r="E34" s="185" t="s">
        <v>167</v>
      </c>
      <c r="F34" s="174">
        <v>2020</v>
      </c>
      <c r="G34" s="174">
        <v>2024</v>
      </c>
      <c r="H34" s="174" t="s">
        <v>168</v>
      </c>
      <c r="I34" s="179">
        <v>6252140</v>
      </c>
      <c r="J34" s="179">
        <v>3023506</v>
      </c>
      <c r="K34" s="185" t="s">
        <v>169</v>
      </c>
    </row>
    <row r="35" spans="1:11" ht="45" x14ac:dyDescent="0.25">
      <c r="A35" s="185" t="s">
        <v>228</v>
      </c>
      <c r="B35" s="174">
        <v>7</v>
      </c>
      <c r="C35" s="185" t="s">
        <v>166</v>
      </c>
      <c r="D35" s="186" t="s">
        <v>114</v>
      </c>
      <c r="E35" s="185" t="s">
        <v>229</v>
      </c>
      <c r="F35" s="174">
        <v>2018</v>
      </c>
      <c r="G35" s="174">
        <v>2022</v>
      </c>
      <c r="H35" s="174" t="s">
        <v>168</v>
      </c>
      <c r="I35" s="179">
        <v>3620834</v>
      </c>
      <c r="J35" s="179">
        <v>2152453</v>
      </c>
      <c r="K35" s="185" t="s">
        <v>169</v>
      </c>
    </row>
    <row r="36" spans="1:11" ht="45" x14ac:dyDescent="0.25">
      <c r="A36" s="185" t="s">
        <v>230</v>
      </c>
      <c r="B36" s="174">
        <v>7</v>
      </c>
      <c r="C36" s="185" t="s">
        <v>166</v>
      </c>
      <c r="D36" s="186" t="s">
        <v>114</v>
      </c>
      <c r="E36" s="185" t="s">
        <v>231</v>
      </c>
      <c r="F36" s="174">
        <v>2019</v>
      </c>
      <c r="G36" s="174">
        <v>2022</v>
      </c>
      <c r="H36" s="174" t="s">
        <v>168</v>
      </c>
      <c r="I36" s="179" t="s">
        <v>178</v>
      </c>
      <c r="J36" s="174" t="s">
        <v>178</v>
      </c>
      <c r="K36" s="185" t="s">
        <v>169</v>
      </c>
    </row>
    <row r="37" spans="1:11" ht="45" x14ac:dyDescent="0.25">
      <c r="A37" s="185" t="s">
        <v>232</v>
      </c>
      <c r="B37" s="174">
        <v>7</v>
      </c>
      <c r="C37" s="185" t="s">
        <v>166</v>
      </c>
      <c r="D37" s="186" t="s">
        <v>114</v>
      </c>
      <c r="E37" s="185" t="s">
        <v>233</v>
      </c>
      <c r="F37" s="174">
        <v>2021</v>
      </c>
      <c r="G37" s="174">
        <v>2023</v>
      </c>
      <c r="H37" s="174" t="s">
        <v>168</v>
      </c>
      <c r="I37" s="179">
        <v>726619</v>
      </c>
      <c r="J37" s="179">
        <v>513853</v>
      </c>
      <c r="K37" s="185" t="s">
        <v>169</v>
      </c>
    </row>
    <row r="38" spans="1:11" ht="45" x14ac:dyDescent="0.25">
      <c r="A38" s="185" t="s">
        <v>234</v>
      </c>
      <c r="B38" s="174">
        <v>7</v>
      </c>
      <c r="C38" s="185" t="s">
        <v>166</v>
      </c>
      <c r="D38" s="186" t="s">
        <v>114</v>
      </c>
      <c r="E38" s="185" t="s">
        <v>235</v>
      </c>
      <c r="F38" s="174">
        <v>2017</v>
      </c>
      <c r="G38" s="174">
        <v>2022</v>
      </c>
      <c r="H38" s="174" t="s">
        <v>191</v>
      </c>
      <c r="I38" s="179" t="s">
        <v>178</v>
      </c>
      <c r="J38" s="174" t="s">
        <v>178</v>
      </c>
      <c r="K38" s="185" t="s">
        <v>169</v>
      </c>
    </row>
    <row r="39" spans="1:11" ht="45" x14ac:dyDescent="0.25">
      <c r="A39" s="185" t="s">
        <v>236</v>
      </c>
      <c r="B39" s="174">
        <v>7</v>
      </c>
      <c r="C39" s="185" t="s">
        <v>166</v>
      </c>
      <c r="D39" s="186" t="s">
        <v>114</v>
      </c>
      <c r="E39" s="185" t="s">
        <v>210</v>
      </c>
      <c r="F39" s="174"/>
      <c r="G39" s="174">
        <v>2023</v>
      </c>
      <c r="H39" s="174" t="s">
        <v>191</v>
      </c>
      <c r="I39" s="179">
        <v>21751489</v>
      </c>
      <c r="J39" s="179">
        <v>4500000</v>
      </c>
      <c r="K39" s="185" t="s">
        <v>169</v>
      </c>
    </row>
    <row r="40" spans="1:11" ht="45" x14ac:dyDescent="0.25">
      <c r="A40" s="14" t="s">
        <v>237</v>
      </c>
      <c r="B40" s="18">
        <v>7</v>
      </c>
      <c r="C40" s="14" t="s">
        <v>166</v>
      </c>
      <c r="D40" s="2" t="s">
        <v>114</v>
      </c>
      <c r="E40" s="14" t="s">
        <v>238</v>
      </c>
      <c r="F40" s="18">
        <v>2019</v>
      </c>
      <c r="G40" s="18">
        <v>2022</v>
      </c>
      <c r="H40" s="18" t="s">
        <v>168</v>
      </c>
      <c r="I40" s="30">
        <v>3738016</v>
      </c>
      <c r="J40" s="30">
        <v>1483128</v>
      </c>
      <c r="K40" s="14" t="s">
        <v>169</v>
      </c>
    </row>
    <row r="41" spans="1:11" x14ac:dyDescent="0.25">
      <c r="A41" s="152" t="s">
        <v>239</v>
      </c>
      <c r="B41" s="152"/>
      <c r="C41" s="152"/>
      <c r="D41" s="152"/>
      <c r="E41" s="152"/>
      <c r="F41" s="152"/>
      <c r="G41" s="152"/>
      <c r="H41" s="152"/>
      <c r="I41" s="152"/>
      <c r="J41" s="152"/>
      <c r="K41" s="152"/>
    </row>
    <row r="42" spans="1:11" ht="45" x14ac:dyDescent="0.25">
      <c r="A42" s="183" t="s">
        <v>240</v>
      </c>
      <c r="B42" s="178">
        <v>8</v>
      </c>
      <c r="C42" s="183" t="s">
        <v>166</v>
      </c>
      <c r="D42" s="184" t="s">
        <v>114</v>
      </c>
      <c r="E42" s="175" t="s">
        <v>167</v>
      </c>
      <c r="F42" s="178">
        <v>2019</v>
      </c>
      <c r="G42" s="178">
        <v>2021</v>
      </c>
      <c r="H42" s="184" t="s">
        <v>191</v>
      </c>
      <c r="I42" s="182">
        <v>1185627</v>
      </c>
      <c r="J42" s="182">
        <v>1185627</v>
      </c>
      <c r="K42" s="183" t="s">
        <v>169</v>
      </c>
    </row>
    <row r="43" spans="1:11" ht="45" x14ac:dyDescent="0.25">
      <c r="A43" s="183" t="s">
        <v>241</v>
      </c>
      <c r="B43" s="178">
        <v>7</v>
      </c>
      <c r="C43" s="183" t="s">
        <v>166</v>
      </c>
      <c r="D43" s="184" t="s">
        <v>114</v>
      </c>
      <c r="E43" s="175" t="s">
        <v>194</v>
      </c>
      <c r="F43" s="178">
        <v>2023</v>
      </c>
      <c r="G43" s="178">
        <v>2026</v>
      </c>
      <c r="H43" s="184" t="s">
        <v>168</v>
      </c>
      <c r="I43" s="182" t="s">
        <v>178</v>
      </c>
      <c r="J43" s="182" t="s">
        <v>178</v>
      </c>
      <c r="K43" s="183" t="s">
        <v>169</v>
      </c>
    </row>
    <row r="44" spans="1:11" ht="45" x14ac:dyDescent="0.25">
      <c r="A44" s="183" t="s">
        <v>242</v>
      </c>
      <c r="B44" s="178">
        <v>4</v>
      </c>
      <c r="C44" s="183" t="s">
        <v>166</v>
      </c>
      <c r="D44" s="184" t="s">
        <v>114</v>
      </c>
      <c r="E44" s="175" t="s">
        <v>167</v>
      </c>
      <c r="F44" s="178">
        <v>2023</v>
      </c>
      <c r="G44" s="178">
        <v>2025</v>
      </c>
      <c r="H44" s="184" t="s">
        <v>168</v>
      </c>
      <c r="I44" s="182" t="s">
        <v>178</v>
      </c>
      <c r="J44" s="182" t="s">
        <v>178</v>
      </c>
      <c r="K44" s="183" t="s">
        <v>169</v>
      </c>
    </row>
    <row r="45" spans="1:11" ht="45" x14ac:dyDescent="0.25">
      <c r="A45" s="183" t="s">
        <v>243</v>
      </c>
      <c r="B45" s="178">
        <v>5</v>
      </c>
      <c r="C45" s="183" t="s">
        <v>166</v>
      </c>
      <c r="D45" s="184" t="s">
        <v>114</v>
      </c>
      <c r="E45" s="175" t="s">
        <v>244</v>
      </c>
      <c r="F45" s="178">
        <v>2022</v>
      </c>
      <c r="G45" s="178">
        <v>2024</v>
      </c>
      <c r="H45" s="184" t="s">
        <v>191</v>
      </c>
      <c r="I45" s="182" t="s">
        <v>178</v>
      </c>
      <c r="J45" s="182" t="s">
        <v>178</v>
      </c>
      <c r="K45" s="183" t="s">
        <v>169</v>
      </c>
    </row>
    <row r="46" spans="1:11" ht="45" x14ac:dyDescent="0.25">
      <c r="A46" s="108" t="s">
        <v>245</v>
      </c>
      <c r="B46" s="29">
        <v>1</v>
      </c>
      <c r="C46" s="108" t="s">
        <v>166</v>
      </c>
      <c r="D46" s="109" t="s">
        <v>114</v>
      </c>
      <c r="E46" s="21" t="s">
        <v>246</v>
      </c>
      <c r="F46" s="29">
        <v>2021</v>
      </c>
      <c r="G46" s="29">
        <v>2023</v>
      </c>
      <c r="H46" s="109" t="s">
        <v>168</v>
      </c>
      <c r="I46" s="32" t="s">
        <v>178</v>
      </c>
      <c r="J46" s="32" t="s">
        <v>178</v>
      </c>
      <c r="K46" s="108" t="s">
        <v>169</v>
      </c>
    </row>
    <row r="47" spans="1:11" x14ac:dyDescent="0.25">
      <c r="A47" s="108"/>
      <c r="B47" s="31"/>
      <c r="C47" s="109"/>
      <c r="D47" s="109"/>
      <c r="E47" s="21"/>
      <c r="F47" s="29"/>
      <c r="G47" s="29"/>
      <c r="H47" s="22"/>
      <c r="I47" s="32"/>
      <c r="J47" s="32"/>
      <c r="K47" s="29"/>
    </row>
    <row r="48" spans="1:11" x14ac:dyDescent="0.25">
      <c r="A48" s="108"/>
      <c r="B48" s="31"/>
      <c r="C48" s="109"/>
      <c r="D48" s="109"/>
      <c r="E48" s="21"/>
      <c r="F48" s="29"/>
      <c r="G48" s="29"/>
      <c r="H48" s="22"/>
      <c r="I48" s="32"/>
      <c r="J48" s="32"/>
      <c r="K48" s="29"/>
    </row>
    <row r="49" spans="1:11" x14ac:dyDescent="0.25">
      <c r="A49" s="14"/>
      <c r="B49" s="18">
        <v>1</v>
      </c>
      <c r="C49">
        <v>3</v>
      </c>
      <c r="D49" s="2"/>
      <c r="E49" s="19"/>
      <c r="F49" s="18"/>
      <c r="G49" s="18"/>
      <c r="H49" s="2"/>
      <c r="I49" s="30">
        <f>SUM(I3:I46)</f>
        <v>107082696</v>
      </c>
      <c r="J49" s="96">
        <f>SUM(J3:J46)</f>
        <v>31796412</v>
      </c>
      <c r="K49" s="99">
        <f>(I49-J49)</f>
        <v>75286284</v>
      </c>
    </row>
    <row r="50" spans="1:11" x14ac:dyDescent="0.25">
      <c r="A50" s="14"/>
      <c r="B50" s="18">
        <v>2</v>
      </c>
      <c r="C50" s="14">
        <v>2</v>
      </c>
      <c r="D50" s="2"/>
      <c r="E50" s="19"/>
      <c r="F50" s="18"/>
      <c r="G50" s="18"/>
      <c r="H50" s="2"/>
      <c r="I50" s="30"/>
      <c r="J50" s="91" t="s">
        <v>247</v>
      </c>
      <c r="K50" s="98" t="s">
        <v>211</v>
      </c>
    </row>
    <row r="51" spans="1:11" x14ac:dyDescent="0.25">
      <c r="A51" s="14"/>
      <c r="B51" s="18">
        <v>3</v>
      </c>
      <c r="C51" s="14">
        <v>2</v>
      </c>
      <c r="D51" s="2"/>
      <c r="E51" s="19"/>
      <c r="F51" s="18"/>
      <c r="G51" s="18"/>
      <c r="H51" s="2"/>
      <c r="I51" s="30"/>
      <c r="J51" s="46"/>
      <c r="K51" s="14"/>
    </row>
    <row r="52" spans="1:11" x14ac:dyDescent="0.25">
      <c r="A52" s="14"/>
      <c r="B52" s="18">
        <v>4</v>
      </c>
      <c r="C52" s="14">
        <v>15</v>
      </c>
      <c r="D52" s="2"/>
      <c r="E52" s="19"/>
      <c r="F52" s="18"/>
      <c r="G52" s="18"/>
      <c r="H52" s="2"/>
      <c r="I52" s="30"/>
      <c r="J52" s="46"/>
      <c r="K52" s="14"/>
    </row>
    <row r="53" spans="1:11" x14ac:dyDescent="0.25">
      <c r="A53" s="14"/>
      <c r="B53" s="18">
        <v>5</v>
      </c>
      <c r="C53" s="14">
        <v>1</v>
      </c>
      <c r="D53" s="2"/>
      <c r="E53" s="19"/>
      <c r="F53" s="18"/>
      <c r="G53" s="18"/>
      <c r="H53" s="2"/>
      <c r="I53" s="30"/>
      <c r="J53" s="46"/>
      <c r="K53" s="14"/>
    </row>
    <row r="54" spans="1:11" x14ac:dyDescent="0.25">
      <c r="A54" s="14"/>
      <c r="B54" s="18">
        <v>6</v>
      </c>
      <c r="C54" s="14">
        <v>0</v>
      </c>
      <c r="D54" s="2"/>
      <c r="E54" s="19"/>
      <c r="F54" s="18"/>
      <c r="G54" s="18"/>
      <c r="H54" s="2"/>
      <c r="I54" s="30"/>
      <c r="J54" s="46"/>
      <c r="K54" s="14"/>
    </row>
    <row r="55" spans="1:11" x14ac:dyDescent="0.25">
      <c r="A55" s="14"/>
      <c r="B55" s="18">
        <v>7</v>
      </c>
      <c r="C55" s="14">
        <v>12</v>
      </c>
      <c r="D55" s="2"/>
      <c r="E55" s="19"/>
      <c r="F55" s="18"/>
      <c r="G55" s="18"/>
      <c r="H55" s="2"/>
      <c r="I55" s="30"/>
      <c r="J55" s="46"/>
      <c r="K55" s="14"/>
    </row>
    <row r="56" spans="1:11" x14ac:dyDescent="0.25">
      <c r="A56" s="14"/>
      <c r="B56" s="18">
        <v>8</v>
      </c>
      <c r="C56" s="14">
        <v>8</v>
      </c>
      <c r="D56" s="2"/>
      <c r="E56" s="19"/>
      <c r="F56" s="18"/>
      <c r="G56" s="18"/>
      <c r="H56" s="2"/>
      <c r="I56" s="30"/>
      <c r="J56" s="46"/>
      <c r="K56" s="14"/>
    </row>
    <row r="57" spans="1:11" x14ac:dyDescent="0.25">
      <c r="B57" s="18">
        <v>9</v>
      </c>
      <c r="C57" s="14">
        <v>3</v>
      </c>
    </row>
    <row r="58" spans="1:11" x14ac:dyDescent="0.25">
      <c r="B58" s="18">
        <v>10</v>
      </c>
      <c r="C58" s="14">
        <v>0</v>
      </c>
    </row>
    <row r="59" spans="1:11" x14ac:dyDescent="0.25">
      <c r="B59" s="18">
        <v>11</v>
      </c>
      <c r="C59" s="14">
        <v>0</v>
      </c>
    </row>
    <row r="60" spans="1:11" x14ac:dyDescent="0.25">
      <c r="B60" s="18">
        <v>12</v>
      </c>
      <c r="C60" s="14">
        <v>0</v>
      </c>
    </row>
    <row r="61" spans="1:11" x14ac:dyDescent="0.25">
      <c r="B61" s="18">
        <v>13</v>
      </c>
      <c r="C61" s="14">
        <v>0</v>
      </c>
    </row>
    <row r="63" spans="1:11" x14ac:dyDescent="0.25">
      <c r="B63" t="s">
        <v>161</v>
      </c>
      <c r="C63">
        <f>COUNTA(A3:A46)</f>
        <v>44</v>
      </c>
    </row>
  </sheetData>
  <mergeCells count="1">
    <mergeCell ref="A41:K41"/>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268D-6A6C-4DAD-98B4-196AFEB890EF}">
  <sheetPr>
    <pageSetUpPr fitToPage="1"/>
  </sheetPr>
  <dimension ref="A1:L52"/>
  <sheetViews>
    <sheetView zoomScale="90" zoomScaleNormal="90" workbookViewId="0"/>
  </sheetViews>
  <sheetFormatPr defaultRowHeight="15" x14ac:dyDescent="0.25"/>
  <cols>
    <col min="1" max="1" width="32.85546875" customWidth="1"/>
    <col min="2" max="2" width="33.42578125" hidden="1" customWidth="1"/>
    <col min="3" max="3" width="17" customWidth="1"/>
    <col min="4" max="4" width="22.85546875" customWidth="1"/>
    <col min="5" max="5" width="21.28515625" customWidth="1"/>
    <col min="6" max="6" width="19.42578125" customWidth="1"/>
    <col min="7" max="7" width="11.7109375" customWidth="1"/>
    <col min="8" max="8" width="14.140625" customWidth="1"/>
    <col min="9" max="9" width="13.85546875" bestFit="1" customWidth="1"/>
    <col min="10" max="10" width="15.7109375" customWidth="1"/>
    <col min="11" max="11" width="14.140625" customWidth="1"/>
    <col min="12" max="12" width="38.28515625" customWidth="1"/>
  </cols>
  <sheetData>
    <row r="1" spans="1:12" ht="39.75" customHeight="1" x14ac:dyDescent="0.35">
      <c r="A1" s="34" t="s">
        <v>248</v>
      </c>
    </row>
    <row r="2" spans="1:12" s="1" customFormat="1" ht="31.5" x14ac:dyDescent="0.25">
      <c r="A2" s="8" t="s">
        <v>1</v>
      </c>
      <c r="B2" s="8" t="s">
        <v>2</v>
      </c>
      <c r="C2" s="27" t="s">
        <v>3</v>
      </c>
      <c r="D2" s="8" t="s">
        <v>4</v>
      </c>
      <c r="E2" s="9" t="s">
        <v>162</v>
      </c>
      <c r="F2" s="8" t="s">
        <v>163</v>
      </c>
      <c r="G2" s="8" t="s">
        <v>6</v>
      </c>
      <c r="H2" s="9" t="s">
        <v>7</v>
      </c>
      <c r="I2" s="9" t="s">
        <v>8</v>
      </c>
      <c r="J2" s="8" t="s">
        <v>9</v>
      </c>
      <c r="K2" s="9" t="s">
        <v>164</v>
      </c>
      <c r="L2" s="9" t="s">
        <v>11</v>
      </c>
    </row>
    <row r="3" spans="1:12" ht="75" x14ac:dyDescent="0.25">
      <c r="A3" s="23" t="s">
        <v>249</v>
      </c>
      <c r="B3" s="18" t="s">
        <v>250</v>
      </c>
      <c r="C3" s="18" t="s">
        <v>199</v>
      </c>
      <c r="D3" s="21" t="s">
        <v>251</v>
      </c>
      <c r="E3" s="22" t="s">
        <v>252</v>
      </c>
      <c r="F3" s="19" t="s">
        <v>253</v>
      </c>
      <c r="G3" s="18">
        <v>2019</v>
      </c>
      <c r="H3" s="18">
        <v>2023</v>
      </c>
      <c r="I3" s="18" t="s">
        <v>77</v>
      </c>
      <c r="J3" s="30">
        <v>4450000</v>
      </c>
      <c r="K3" s="30">
        <f>(J3*0.9)</f>
        <v>4005000</v>
      </c>
      <c r="L3" s="19" t="s">
        <v>254</v>
      </c>
    </row>
    <row r="4" spans="1:12" ht="75" x14ac:dyDescent="0.25">
      <c r="A4" s="23" t="s">
        <v>255</v>
      </c>
      <c r="B4" s="18" t="s">
        <v>256</v>
      </c>
      <c r="C4" s="18">
        <v>7</v>
      </c>
      <c r="D4" s="21" t="s">
        <v>251</v>
      </c>
      <c r="E4" s="22" t="s">
        <v>252</v>
      </c>
      <c r="F4" s="19" t="s">
        <v>257</v>
      </c>
      <c r="G4" s="18">
        <v>2012</v>
      </c>
      <c r="H4" s="18">
        <v>2020</v>
      </c>
      <c r="I4" s="18" t="s">
        <v>258</v>
      </c>
      <c r="J4" s="30">
        <v>2807600</v>
      </c>
      <c r="K4" s="30">
        <v>2246000</v>
      </c>
      <c r="L4" s="19" t="s">
        <v>259</v>
      </c>
    </row>
    <row r="5" spans="1:12" ht="75" x14ac:dyDescent="0.25">
      <c r="A5" s="23" t="s">
        <v>260</v>
      </c>
      <c r="B5" s="18" t="s">
        <v>145</v>
      </c>
      <c r="C5" s="18">
        <v>4</v>
      </c>
      <c r="D5" s="21" t="s">
        <v>261</v>
      </c>
      <c r="E5" s="22" t="s">
        <v>252</v>
      </c>
      <c r="F5" s="19" t="s">
        <v>262</v>
      </c>
      <c r="G5" s="18">
        <v>2016</v>
      </c>
      <c r="H5" s="18">
        <v>2019</v>
      </c>
      <c r="I5" s="18" t="s">
        <v>263</v>
      </c>
      <c r="J5" s="30">
        <v>600000</v>
      </c>
      <c r="K5" s="30">
        <v>600000</v>
      </c>
      <c r="L5" s="19" t="s">
        <v>264</v>
      </c>
    </row>
    <row r="6" spans="1:12" ht="75" x14ac:dyDescent="0.25">
      <c r="A6" s="173" t="s">
        <v>265</v>
      </c>
      <c r="B6" s="174" t="s">
        <v>266</v>
      </c>
      <c r="C6" s="174">
        <v>4</v>
      </c>
      <c r="D6" s="175" t="s">
        <v>261</v>
      </c>
      <c r="E6" s="176" t="s">
        <v>252</v>
      </c>
      <c r="F6" s="177" t="s">
        <v>267</v>
      </c>
      <c r="G6" s="174">
        <v>2016</v>
      </c>
      <c r="H6" s="174">
        <v>2019</v>
      </c>
      <c r="I6" s="178" t="s">
        <v>268</v>
      </c>
      <c r="J6" s="179">
        <v>185000</v>
      </c>
      <c r="K6" s="179"/>
      <c r="L6" s="177" t="s">
        <v>269</v>
      </c>
    </row>
    <row r="7" spans="1:12" ht="75" x14ac:dyDescent="0.25">
      <c r="A7" s="173" t="s">
        <v>270</v>
      </c>
      <c r="B7" s="174" t="s">
        <v>159</v>
      </c>
      <c r="C7" s="174">
        <v>7</v>
      </c>
      <c r="D7" s="175" t="s">
        <v>261</v>
      </c>
      <c r="E7" s="176" t="s">
        <v>252</v>
      </c>
      <c r="F7" s="177" t="s">
        <v>271</v>
      </c>
      <c r="G7" s="174">
        <v>2016</v>
      </c>
      <c r="H7" s="174">
        <v>2020</v>
      </c>
      <c r="I7" s="178" t="s">
        <v>272</v>
      </c>
      <c r="J7" s="179">
        <v>850000</v>
      </c>
      <c r="K7" s="179">
        <f>(J7*0.9)</f>
        <v>765000</v>
      </c>
      <c r="L7" s="177" t="s">
        <v>273</v>
      </c>
    </row>
    <row r="8" spans="1:12" ht="75" x14ac:dyDescent="0.25">
      <c r="A8" s="176" t="s">
        <v>274</v>
      </c>
      <c r="B8" s="181" t="s">
        <v>275</v>
      </c>
      <c r="C8" s="178">
        <v>8</v>
      </c>
      <c r="D8" s="175" t="s">
        <v>251</v>
      </c>
      <c r="E8" s="176" t="s">
        <v>252</v>
      </c>
      <c r="F8" s="175" t="s">
        <v>276</v>
      </c>
      <c r="G8" s="178">
        <v>2020</v>
      </c>
      <c r="H8" s="178"/>
      <c r="I8" s="178" t="s">
        <v>272</v>
      </c>
      <c r="J8" s="182">
        <v>566771.6</v>
      </c>
      <c r="K8" s="182">
        <v>566771.6</v>
      </c>
      <c r="L8" s="175" t="s">
        <v>277</v>
      </c>
    </row>
    <row r="9" spans="1:12" ht="75" x14ac:dyDescent="0.25">
      <c r="A9" s="176" t="s">
        <v>278</v>
      </c>
      <c r="B9" s="181" t="s">
        <v>279</v>
      </c>
      <c r="C9" s="178">
        <v>7</v>
      </c>
      <c r="D9" s="175" t="s">
        <v>251</v>
      </c>
      <c r="E9" s="176" t="s">
        <v>252</v>
      </c>
      <c r="F9" s="175" t="s">
        <v>280</v>
      </c>
      <c r="G9" s="178">
        <v>2020</v>
      </c>
      <c r="H9" s="178"/>
      <c r="I9" s="178" t="s">
        <v>99</v>
      </c>
      <c r="J9" s="182">
        <v>563124.67000000004</v>
      </c>
      <c r="K9" s="182">
        <f>(J9*0.6)</f>
        <v>337874.80200000003</v>
      </c>
      <c r="L9" s="175" t="s">
        <v>281</v>
      </c>
    </row>
    <row r="10" spans="1:12" ht="75" x14ac:dyDescent="0.25">
      <c r="A10" s="22" t="s">
        <v>282</v>
      </c>
      <c r="B10" s="31" t="s">
        <v>283</v>
      </c>
      <c r="C10" s="29">
        <v>8</v>
      </c>
      <c r="D10" s="21" t="s">
        <v>251</v>
      </c>
      <c r="E10" s="22" t="s">
        <v>252</v>
      </c>
      <c r="F10" s="21" t="s">
        <v>284</v>
      </c>
      <c r="G10" s="29">
        <v>2020</v>
      </c>
      <c r="H10" s="29"/>
      <c r="I10" s="29" t="s">
        <v>107</v>
      </c>
      <c r="J10" s="32">
        <v>218160</v>
      </c>
      <c r="K10" s="32">
        <f>J10*0.7</f>
        <v>152712</v>
      </c>
      <c r="L10" s="21" t="s">
        <v>285</v>
      </c>
    </row>
    <row r="11" spans="1:12" ht="45" x14ac:dyDescent="0.25">
      <c r="A11" s="155" t="s">
        <v>286</v>
      </c>
      <c r="B11" s="31" t="s">
        <v>283</v>
      </c>
      <c r="C11" s="29">
        <v>9</v>
      </c>
      <c r="D11" s="154" t="s">
        <v>251</v>
      </c>
      <c r="E11" s="155" t="s">
        <v>252</v>
      </c>
      <c r="F11" s="21" t="s">
        <v>284</v>
      </c>
      <c r="G11" s="156">
        <v>2020</v>
      </c>
      <c r="H11" s="156"/>
      <c r="I11" s="156" t="s">
        <v>99</v>
      </c>
      <c r="J11" s="32">
        <v>155557.04</v>
      </c>
      <c r="K11" s="32">
        <f>(J11*0.8)</f>
        <v>124445.63200000001</v>
      </c>
      <c r="L11" s="154" t="s">
        <v>287</v>
      </c>
    </row>
    <row r="12" spans="1:12" ht="60" x14ac:dyDescent="0.25">
      <c r="A12" s="155"/>
      <c r="B12" s="31" t="s">
        <v>288</v>
      </c>
      <c r="C12" s="29">
        <v>5</v>
      </c>
      <c r="D12" s="154"/>
      <c r="E12" s="155"/>
      <c r="F12" s="21" t="s">
        <v>289</v>
      </c>
      <c r="G12" s="156"/>
      <c r="H12" s="156"/>
      <c r="I12" s="156"/>
      <c r="J12" s="32">
        <v>94569.31</v>
      </c>
      <c r="K12" s="32">
        <f>(J12*0.8)</f>
        <v>75655.448000000004</v>
      </c>
      <c r="L12" s="154"/>
    </row>
    <row r="13" spans="1:12" ht="75" x14ac:dyDescent="0.25">
      <c r="A13" s="22" t="s">
        <v>290</v>
      </c>
      <c r="B13" s="31" t="s">
        <v>291</v>
      </c>
      <c r="C13" s="29">
        <v>7</v>
      </c>
      <c r="D13" s="21" t="s">
        <v>251</v>
      </c>
      <c r="E13" s="22" t="s">
        <v>252</v>
      </c>
      <c r="F13" s="21" t="s">
        <v>262</v>
      </c>
      <c r="G13" s="29">
        <v>2018</v>
      </c>
      <c r="H13" s="18">
        <v>2020</v>
      </c>
      <c r="I13" s="29" t="s">
        <v>292</v>
      </c>
      <c r="J13" s="32">
        <v>277229</v>
      </c>
      <c r="K13" s="32">
        <v>277229</v>
      </c>
      <c r="L13" s="21" t="s">
        <v>293</v>
      </c>
    </row>
    <row r="14" spans="1:12" x14ac:dyDescent="0.25">
      <c r="A14" s="153" t="s">
        <v>239</v>
      </c>
      <c r="B14" s="153"/>
      <c r="C14" s="153"/>
      <c r="D14" s="153"/>
      <c r="E14" s="153"/>
      <c r="F14" s="153"/>
      <c r="G14" s="153"/>
      <c r="H14" s="153"/>
      <c r="I14" s="153"/>
      <c r="J14" s="153"/>
      <c r="K14" s="153"/>
      <c r="L14" s="153"/>
    </row>
    <row r="15" spans="1:12" ht="75" x14ac:dyDescent="0.25">
      <c r="A15" s="2" t="s">
        <v>294</v>
      </c>
      <c r="C15" s="18">
        <v>4</v>
      </c>
      <c r="D15" s="21" t="s">
        <v>251</v>
      </c>
      <c r="E15" s="22" t="s">
        <v>252</v>
      </c>
      <c r="F15" s="23" t="s">
        <v>295</v>
      </c>
      <c r="G15" s="18">
        <v>2021</v>
      </c>
      <c r="H15" s="18"/>
      <c r="I15" s="18" t="s">
        <v>296</v>
      </c>
      <c r="J15" s="18"/>
      <c r="K15" s="30">
        <v>79728.472500000003</v>
      </c>
      <c r="L15" s="2" t="s">
        <v>297</v>
      </c>
    </row>
    <row r="16" spans="1:12" ht="75" x14ac:dyDescent="0.25">
      <c r="A16" s="2" t="s">
        <v>294</v>
      </c>
      <c r="C16" s="18">
        <v>4</v>
      </c>
      <c r="D16" s="21" t="s">
        <v>251</v>
      </c>
      <c r="E16" s="22" t="s">
        <v>252</v>
      </c>
      <c r="F16" s="23" t="s">
        <v>262</v>
      </c>
      <c r="G16" s="18">
        <v>2021</v>
      </c>
      <c r="H16" s="18"/>
      <c r="I16" s="18" t="s">
        <v>296</v>
      </c>
      <c r="J16" s="30">
        <v>35409.9375</v>
      </c>
      <c r="K16" s="30">
        <v>35409.9375</v>
      </c>
      <c r="L16" s="2" t="s">
        <v>297</v>
      </c>
    </row>
    <row r="17" spans="1:12" ht="75" x14ac:dyDescent="0.25">
      <c r="A17" s="2" t="s">
        <v>298</v>
      </c>
      <c r="C17" s="18">
        <v>7</v>
      </c>
      <c r="D17" s="21" t="s">
        <v>251</v>
      </c>
      <c r="E17" s="22" t="s">
        <v>252</v>
      </c>
      <c r="F17" s="23" t="s">
        <v>262</v>
      </c>
      <c r="G17" s="18">
        <v>2021</v>
      </c>
      <c r="H17" s="18"/>
      <c r="I17" s="18"/>
      <c r="J17" s="30">
        <v>1190747.6200000001</v>
      </c>
      <c r="K17" s="30">
        <v>1190747.6200000001</v>
      </c>
      <c r="L17" s="2" t="s">
        <v>299</v>
      </c>
    </row>
    <row r="18" spans="1:12" ht="75" x14ac:dyDescent="0.25">
      <c r="A18" s="2" t="s">
        <v>298</v>
      </c>
      <c r="C18" s="18">
        <v>7</v>
      </c>
      <c r="D18" s="21" t="s">
        <v>251</v>
      </c>
      <c r="E18" s="22" t="s">
        <v>252</v>
      </c>
      <c r="F18" s="23" t="s">
        <v>300</v>
      </c>
      <c r="G18" s="18">
        <v>2021</v>
      </c>
      <c r="H18" s="18"/>
      <c r="I18" s="18"/>
      <c r="J18" s="18"/>
      <c r="K18" s="30">
        <v>149520.54</v>
      </c>
      <c r="L18" s="2" t="s">
        <v>299</v>
      </c>
    </row>
    <row r="19" spans="1:12" ht="75" x14ac:dyDescent="0.25">
      <c r="A19" s="2" t="s">
        <v>301</v>
      </c>
      <c r="C19" s="18">
        <v>7</v>
      </c>
      <c r="D19" s="21" t="s">
        <v>251</v>
      </c>
      <c r="E19" s="22" t="s">
        <v>252</v>
      </c>
      <c r="F19" s="23" t="s">
        <v>302</v>
      </c>
      <c r="G19" s="18">
        <v>2022</v>
      </c>
      <c r="H19" s="18"/>
      <c r="I19" s="18"/>
      <c r="J19" s="30">
        <v>651609</v>
      </c>
      <c r="K19" s="30">
        <v>651609</v>
      </c>
      <c r="L19" s="2" t="s">
        <v>303</v>
      </c>
    </row>
    <row r="20" spans="1:12" ht="75" x14ac:dyDescent="0.25">
      <c r="A20" s="2" t="s">
        <v>301</v>
      </c>
      <c r="C20" s="18">
        <v>7</v>
      </c>
      <c r="D20" s="21" t="s">
        <v>251</v>
      </c>
      <c r="E20" s="22" t="s">
        <v>252</v>
      </c>
      <c r="F20" s="23" t="s">
        <v>304</v>
      </c>
      <c r="G20" s="18">
        <v>2022</v>
      </c>
      <c r="H20" s="18"/>
      <c r="I20" s="18"/>
      <c r="J20" s="30">
        <v>548847</v>
      </c>
      <c r="K20" s="30">
        <v>548847</v>
      </c>
      <c r="L20" s="2" t="s">
        <v>303</v>
      </c>
    </row>
    <row r="21" spans="1:12" ht="75" x14ac:dyDescent="0.25">
      <c r="A21" s="2" t="s">
        <v>301</v>
      </c>
      <c r="C21" s="18">
        <v>7</v>
      </c>
      <c r="D21" s="21" t="s">
        <v>251</v>
      </c>
      <c r="E21" s="22" t="s">
        <v>252</v>
      </c>
      <c r="F21" s="23" t="s">
        <v>305</v>
      </c>
      <c r="G21" s="18">
        <v>2022</v>
      </c>
      <c r="H21" s="18"/>
      <c r="I21" s="18"/>
      <c r="J21" s="18"/>
      <c r="K21" s="30">
        <v>1565389</v>
      </c>
      <c r="L21" s="2" t="s">
        <v>303</v>
      </c>
    </row>
    <row r="22" spans="1:12" ht="75" x14ac:dyDescent="0.25">
      <c r="A22" s="2" t="s">
        <v>301</v>
      </c>
      <c r="C22" s="18">
        <v>7</v>
      </c>
      <c r="D22" s="21" t="s">
        <v>251</v>
      </c>
      <c r="E22" s="22" t="s">
        <v>252</v>
      </c>
      <c r="F22" s="23" t="s">
        <v>306</v>
      </c>
      <c r="G22" s="18">
        <v>2022</v>
      </c>
      <c r="H22" s="18"/>
      <c r="I22" s="18"/>
      <c r="J22" s="18"/>
      <c r="K22" s="30">
        <v>102776</v>
      </c>
      <c r="L22" s="2" t="s">
        <v>303</v>
      </c>
    </row>
    <row r="23" spans="1:12" ht="75" x14ac:dyDescent="0.25">
      <c r="A23" s="2" t="s">
        <v>301</v>
      </c>
      <c r="C23" s="18">
        <v>7</v>
      </c>
      <c r="D23" s="21" t="s">
        <v>251</v>
      </c>
      <c r="E23" s="22" t="s">
        <v>252</v>
      </c>
      <c r="F23" s="23" t="s">
        <v>307</v>
      </c>
      <c r="G23" s="18">
        <v>2022</v>
      </c>
      <c r="H23" s="18"/>
      <c r="I23" s="18"/>
      <c r="J23" s="18"/>
      <c r="K23" s="30">
        <v>254525</v>
      </c>
      <c r="L23" s="2" t="s">
        <v>303</v>
      </c>
    </row>
    <row r="24" spans="1:12" ht="75" x14ac:dyDescent="0.25">
      <c r="A24" s="2" t="s">
        <v>301</v>
      </c>
      <c r="C24" s="18">
        <v>7</v>
      </c>
      <c r="D24" s="21" t="s">
        <v>251</v>
      </c>
      <c r="E24" s="22" t="s">
        <v>252</v>
      </c>
      <c r="F24" s="23" t="s">
        <v>308</v>
      </c>
      <c r="G24" s="18">
        <v>2022</v>
      </c>
      <c r="H24" s="18"/>
      <c r="I24" s="18"/>
      <c r="J24" s="18"/>
      <c r="K24" s="30">
        <v>1798762</v>
      </c>
      <c r="L24" s="2" t="s">
        <v>303</v>
      </c>
    </row>
    <row r="25" spans="1:12" ht="75" x14ac:dyDescent="0.25">
      <c r="A25" s="2" t="s">
        <v>301</v>
      </c>
      <c r="C25" s="18">
        <v>7</v>
      </c>
      <c r="D25" s="21" t="s">
        <v>251</v>
      </c>
      <c r="E25" s="22" t="s">
        <v>252</v>
      </c>
      <c r="F25" s="23" t="s">
        <v>309</v>
      </c>
      <c r="G25" s="18">
        <v>2022</v>
      </c>
      <c r="H25" s="18"/>
      <c r="I25" s="18"/>
      <c r="J25" s="18"/>
      <c r="K25" s="30">
        <v>583678</v>
      </c>
      <c r="L25" s="2" t="s">
        <v>303</v>
      </c>
    </row>
    <row r="26" spans="1:12" ht="75" x14ac:dyDescent="0.25">
      <c r="A26" s="2" t="s">
        <v>301</v>
      </c>
      <c r="C26" s="18">
        <v>7</v>
      </c>
      <c r="D26" s="21" t="s">
        <v>251</v>
      </c>
      <c r="E26" s="22" t="s">
        <v>252</v>
      </c>
      <c r="F26" s="23" t="s">
        <v>310</v>
      </c>
      <c r="G26" s="18">
        <v>2022</v>
      </c>
      <c r="H26" s="18"/>
      <c r="I26" s="18"/>
      <c r="J26" s="18"/>
      <c r="K26" s="30">
        <v>260708</v>
      </c>
      <c r="L26" s="2" t="s">
        <v>303</v>
      </c>
    </row>
    <row r="27" spans="1:12" ht="75" x14ac:dyDescent="0.25">
      <c r="A27" s="2" t="s">
        <v>301</v>
      </c>
      <c r="C27" s="18">
        <v>7</v>
      </c>
      <c r="D27" s="21" t="s">
        <v>251</v>
      </c>
      <c r="E27" s="22" t="s">
        <v>252</v>
      </c>
      <c r="F27" s="23" t="s">
        <v>311</v>
      </c>
      <c r="G27" s="18">
        <v>2022</v>
      </c>
      <c r="H27" s="18"/>
      <c r="I27" s="18"/>
      <c r="J27" s="18"/>
      <c r="K27" s="30">
        <v>291720</v>
      </c>
      <c r="L27" s="2" t="s">
        <v>303</v>
      </c>
    </row>
    <row r="28" spans="1:12" ht="75" x14ac:dyDescent="0.25">
      <c r="A28" s="2" t="s">
        <v>301</v>
      </c>
      <c r="C28" s="18">
        <v>7</v>
      </c>
      <c r="D28" s="21" t="s">
        <v>251</v>
      </c>
      <c r="E28" s="22" t="s">
        <v>252</v>
      </c>
      <c r="F28" s="23" t="s">
        <v>312</v>
      </c>
      <c r="G28" s="18">
        <v>2022</v>
      </c>
      <c r="H28" s="18"/>
      <c r="I28" s="18"/>
      <c r="J28" s="18"/>
      <c r="K28" s="30">
        <v>218184</v>
      </c>
      <c r="L28" s="2" t="s">
        <v>303</v>
      </c>
    </row>
    <row r="29" spans="1:12" ht="75" x14ac:dyDescent="0.25">
      <c r="A29" s="2" t="s">
        <v>313</v>
      </c>
      <c r="C29" s="18">
        <v>7</v>
      </c>
      <c r="D29" s="21" t="s">
        <v>314</v>
      </c>
      <c r="E29" s="22" t="s">
        <v>252</v>
      </c>
      <c r="F29" s="23" t="s">
        <v>315</v>
      </c>
      <c r="G29" s="18">
        <v>2022</v>
      </c>
      <c r="H29" s="18"/>
      <c r="I29" s="18"/>
      <c r="J29" s="18"/>
      <c r="K29" s="30">
        <v>47506.22</v>
      </c>
      <c r="L29" s="2" t="s">
        <v>316</v>
      </c>
    </row>
    <row r="30" spans="1:12" ht="75" x14ac:dyDescent="0.25">
      <c r="A30" s="2" t="s">
        <v>317</v>
      </c>
      <c r="C30" s="18">
        <v>7</v>
      </c>
      <c r="D30" s="21" t="s">
        <v>314</v>
      </c>
      <c r="E30" s="22" t="s">
        <v>252</v>
      </c>
      <c r="F30" s="23" t="s">
        <v>318</v>
      </c>
      <c r="G30" s="18">
        <v>2022</v>
      </c>
      <c r="H30" s="18"/>
      <c r="I30" s="18"/>
      <c r="J30" s="18"/>
      <c r="K30" s="30">
        <v>54472.770000000004</v>
      </c>
      <c r="L30" s="2" t="s">
        <v>316</v>
      </c>
    </row>
    <row r="31" spans="1:12" ht="75" x14ac:dyDescent="0.25">
      <c r="A31" s="2" t="s">
        <v>294</v>
      </c>
      <c r="C31" s="18">
        <v>4</v>
      </c>
      <c r="D31" s="21" t="s">
        <v>251</v>
      </c>
      <c r="E31" s="22" t="s">
        <v>252</v>
      </c>
      <c r="F31" s="23" t="s">
        <v>295</v>
      </c>
      <c r="G31" s="18">
        <v>2022</v>
      </c>
      <c r="H31" s="18"/>
      <c r="I31" s="18" t="s">
        <v>296</v>
      </c>
      <c r="J31" s="18"/>
      <c r="K31" s="30">
        <v>159456.94500000001</v>
      </c>
      <c r="L31" s="2" t="s">
        <v>319</v>
      </c>
    </row>
    <row r="32" spans="1:12" ht="75" x14ac:dyDescent="0.25">
      <c r="A32" s="2" t="s">
        <v>294</v>
      </c>
      <c r="C32" s="18">
        <v>4</v>
      </c>
      <c r="D32" s="21" t="s">
        <v>251</v>
      </c>
      <c r="E32" s="22" t="s">
        <v>252</v>
      </c>
      <c r="F32" s="23" t="s">
        <v>320</v>
      </c>
      <c r="G32" s="18">
        <v>2022</v>
      </c>
      <c r="H32" s="18"/>
      <c r="I32" s="18" t="s">
        <v>296</v>
      </c>
      <c r="J32" s="30">
        <v>70819.875</v>
      </c>
      <c r="K32" s="30">
        <v>70819.875</v>
      </c>
      <c r="L32" s="2" t="s">
        <v>319</v>
      </c>
    </row>
    <row r="33" spans="1:12" ht="75" x14ac:dyDescent="0.25">
      <c r="A33" s="2" t="s">
        <v>255</v>
      </c>
      <c r="C33" s="18" t="s">
        <v>321</v>
      </c>
      <c r="D33" s="21" t="s">
        <v>251</v>
      </c>
      <c r="E33" s="22" t="s">
        <v>252</v>
      </c>
      <c r="F33" s="23" t="s">
        <v>322</v>
      </c>
      <c r="G33" s="18">
        <v>2022</v>
      </c>
      <c r="H33" s="18"/>
      <c r="I33" s="18"/>
      <c r="J33" s="18"/>
      <c r="K33" s="30">
        <v>315790.09000000003</v>
      </c>
      <c r="L33" s="2" t="s">
        <v>323</v>
      </c>
    </row>
    <row r="34" spans="1:12" ht="75" x14ac:dyDescent="0.25">
      <c r="A34" s="2" t="s">
        <v>324</v>
      </c>
      <c r="C34" s="18" t="s">
        <v>325</v>
      </c>
      <c r="D34" s="21" t="s">
        <v>251</v>
      </c>
      <c r="E34" s="22" t="s">
        <v>252</v>
      </c>
      <c r="F34" s="23" t="s">
        <v>326</v>
      </c>
      <c r="G34" s="18">
        <v>2022</v>
      </c>
      <c r="H34" s="18"/>
      <c r="I34" s="64" t="s">
        <v>327</v>
      </c>
      <c r="J34" s="18"/>
      <c r="K34" s="30">
        <v>283786.94</v>
      </c>
      <c r="L34" s="2" t="s">
        <v>328</v>
      </c>
    </row>
    <row r="35" spans="1:12" ht="75" x14ac:dyDescent="0.25">
      <c r="A35" s="2" t="s">
        <v>329</v>
      </c>
      <c r="C35" s="18" t="s">
        <v>330</v>
      </c>
      <c r="D35" s="21" t="s">
        <v>251</v>
      </c>
      <c r="E35" s="22" t="s">
        <v>252</v>
      </c>
      <c r="F35" s="23" t="s">
        <v>331</v>
      </c>
      <c r="G35" s="18">
        <v>2022</v>
      </c>
      <c r="H35" s="18"/>
      <c r="I35" s="18"/>
      <c r="J35" s="18"/>
      <c r="K35" s="30">
        <v>240648.35</v>
      </c>
      <c r="L35" s="2" t="s">
        <v>332</v>
      </c>
    </row>
    <row r="36" spans="1:12" x14ac:dyDescent="0.25">
      <c r="A36" s="22"/>
      <c r="B36" s="31"/>
      <c r="C36" s="29"/>
      <c r="D36" s="21"/>
      <c r="E36" s="22"/>
      <c r="F36" s="21"/>
      <c r="G36" s="29"/>
      <c r="H36" s="18"/>
      <c r="I36" s="29"/>
      <c r="J36" s="32"/>
      <c r="K36" s="32"/>
      <c r="L36" s="21"/>
    </row>
    <row r="37" spans="1:12" x14ac:dyDescent="0.25">
      <c r="J37" s="28"/>
      <c r="K37" s="28"/>
    </row>
    <row r="38" spans="1:12" x14ac:dyDescent="0.25">
      <c r="C38" s="18">
        <v>1</v>
      </c>
      <c r="D38">
        <v>1</v>
      </c>
      <c r="J38" s="30">
        <f>SUM(J3:J13)</f>
        <v>10768011.619999999</v>
      </c>
      <c r="K38" s="96">
        <f>SUM(K3:K35)</f>
        <v>18054774.241999999</v>
      </c>
      <c r="L38" s="97" t="e">
        <f>(#REF!)</f>
        <v>#REF!</v>
      </c>
    </row>
    <row r="39" spans="1:12" x14ac:dyDescent="0.25">
      <c r="C39" s="18">
        <v>2</v>
      </c>
      <c r="D39">
        <v>0</v>
      </c>
      <c r="K39" s="91" t="s">
        <v>247</v>
      </c>
      <c r="L39" s="91" t="s">
        <v>211</v>
      </c>
    </row>
    <row r="40" spans="1:12" x14ac:dyDescent="0.25">
      <c r="C40" s="18">
        <v>3</v>
      </c>
      <c r="D40">
        <v>0</v>
      </c>
    </row>
    <row r="41" spans="1:12" x14ac:dyDescent="0.25">
      <c r="C41" s="18">
        <v>4</v>
      </c>
      <c r="D41">
        <v>7</v>
      </c>
      <c r="K41" s="28"/>
    </row>
    <row r="42" spans="1:12" x14ac:dyDescent="0.25">
      <c r="C42" s="18">
        <v>5</v>
      </c>
      <c r="D42">
        <v>1</v>
      </c>
    </row>
    <row r="43" spans="1:12" x14ac:dyDescent="0.25">
      <c r="C43" s="18">
        <v>6</v>
      </c>
      <c r="D43">
        <v>0</v>
      </c>
      <c r="K43" s="28"/>
    </row>
    <row r="44" spans="1:12" x14ac:dyDescent="0.25">
      <c r="C44" s="18">
        <v>7</v>
      </c>
      <c r="D44">
        <v>19</v>
      </c>
    </row>
    <row r="45" spans="1:12" x14ac:dyDescent="0.25">
      <c r="C45" s="18">
        <v>8</v>
      </c>
      <c r="D45">
        <v>3</v>
      </c>
    </row>
    <row r="46" spans="1:12" x14ac:dyDescent="0.25">
      <c r="C46" s="18">
        <v>9</v>
      </c>
      <c r="D46">
        <v>1</v>
      </c>
    </row>
    <row r="47" spans="1:12" x14ac:dyDescent="0.25">
      <c r="C47" s="18">
        <v>10</v>
      </c>
      <c r="D47">
        <v>0</v>
      </c>
    </row>
    <row r="48" spans="1:12" x14ac:dyDescent="0.25">
      <c r="C48" s="18">
        <v>11</v>
      </c>
      <c r="D48">
        <v>0</v>
      </c>
    </row>
    <row r="49" spans="3:4" x14ac:dyDescent="0.25">
      <c r="C49" s="18">
        <v>12</v>
      </c>
      <c r="D49">
        <v>0</v>
      </c>
    </row>
    <row r="50" spans="3:4" x14ac:dyDescent="0.25">
      <c r="C50" s="18">
        <v>13</v>
      </c>
      <c r="D50">
        <v>0</v>
      </c>
    </row>
    <row r="52" spans="3:4" x14ac:dyDescent="0.25">
      <c r="C52" t="s">
        <v>161</v>
      </c>
      <c r="D52">
        <f>COUNTA(A3:A35)</f>
        <v>32</v>
      </c>
    </row>
  </sheetData>
  <mergeCells count="8">
    <mergeCell ref="A14:L14"/>
    <mergeCell ref="L11:L12"/>
    <mergeCell ref="A11:A12"/>
    <mergeCell ref="D11:D12"/>
    <mergeCell ref="E11:E12"/>
    <mergeCell ref="G11:G12"/>
    <mergeCell ref="H11:H12"/>
    <mergeCell ref="I11:I12"/>
  </mergeCells>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895B-F6FD-43DD-8C4F-32EC5748F73D}">
  <sheetPr>
    <pageSetUpPr fitToPage="1"/>
  </sheetPr>
  <dimension ref="A1:M58"/>
  <sheetViews>
    <sheetView zoomScale="90" zoomScaleNormal="90" workbookViewId="0"/>
  </sheetViews>
  <sheetFormatPr defaultColWidth="8.7109375" defaultRowHeight="15" x14ac:dyDescent="0.25"/>
  <cols>
    <col min="1" max="1" width="41.7109375" customWidth="1"/>
    <col min="2" max="2" width="0" hidden="1" customWidth="1"/>
    <col min="3" max="3" width="16.5703125" style="18" customWidth="1"/>
    <col min="4" max="4" width="19" customWidth="1"/>
    <col min="5" max="6" width="18" customWidth="1"/>
    <col min="7" max="7" width="10.85546875" customWidth="1"/>
    <col min="8" max="8" width="10" customWidth="1"/>
    <col min="9" max="9" width="11.140625" customWidth="1"/>
    <col min="10" max="10" width="15.7109375" customWidth="1"/>
    <col min="11" max="11" width="13.5703125" customWidth="1"/>
    <col min="12" max="12" width="19.7109375" customWidth="1"/>
    <col min="13" max="13" width="11.28515625" bestFit="1" customWidth="1"/>
  </cols>
  <sheetData>
    <row r="1" spans="1:13" s="12" customFormat="1" ht="31.5" x14ac:dyDescent="0.5">
      <c r="A1" s="34" t="s">
        <v>109</v>
      </c>
      <c r="C1" s="250"/>
    </row>
    <row r="2" spans="1:13" ht="31.5" x14ac:dyDescent="0.25">
      <c r="A2" s="8" t="s">
        <v>1</v>
      </c>
      <c r="B2" s="8" t="s">
        <v>2</v>
      </c>
      <c r="C2" s="8" t="s">
        <v>3</v>
      </c>
      <c r="D2" s="8" t="s">
        <v>4</v>
      </c>
      <c r="E2" s="9" t="s">
        <v>162</v>
      </c>
      <c r="F2" s="9" t="s">
        <v>163</v>
      </c>
      <c r="G2" s="8" t="s">
        <v>6</v>
      </c>
      <c r="H2" s="9" t="s">
        <v>7</v>
      </c>
      <c r="I2" s="9" t="s">
        <v>8</v>
      </c>
      <c r="J2" s="8" t="s">
        <v>9</v>
      </c>
      <c r="K2" s="9" t="s">
        <v>164</v>
      </c>
      <c r="L2" s="9" t="s">
        <v>11</v>
      </c>
    </row>
    <row r="3" spans="1:13" ht="45" x14ac:dyDescent="0.25">
      <c r="A3" s="243" t="s">
        <v>333</v>
      </c>
      <c r="B3" s="243"/>
      <c r="C3" s="244">
        <v>7</v>
      </c>
      <c r="D3" s="243" t="s">
        <v>334</v>
      </c>
      <c r="E3" s="243" t="s">
        <v>109</v>
      </c>
      <c r="F3" s="243" t="s">
        <v>335</v>
      </c>
      <c r="G3" s="244">
        <v>2022</v>
      </c>
      <c r="H3" s="244">
        <v>2024</v>
      </c>
      <c r="I3" s="115" t="s">
        <v>336</v>
      </c>
      <c r="J3" s="245">
        <f>K3/0.7</f>
        <v>3689142.8571428573</v>
      </c>
      <c r="K3" s="243">
        <v>2582400</v>
      </c>
      <c r="L3" s="243" t="s">
        <v>337</v>
      </c>
    </row>
    <row r="4" spans="1:13" s="3" customFormat="1" ht="45" x14ac:dyDescent="0.25">
      <c r="A4" s="246" t="s">
        <v>338</v>
      </c>
      <c r="B4" s="110"/>
      <c r="C4" s="113">
        <v>1</v>
      </c>
      <c r="D4" s="111" t="s">
        <v>339</v>
      </c>
      <c r="E4" s="112" t="s">
        <v>109</v>
      </c>
      <c r="F4" s="112" t="s">
        <v>340</v>
      </c>
      <c r="G4" s="113">
        <v>2022</v>
      </c>
      <c r="H4" s="114">
        <v>2024</v>
      </c>
      <c r="I4" s="115" t="s">
        <v>341</v>
      </c>
      <c r="J4" s="116">
        <v>160000</v>
      </c>
      <c r="K4" s="116">
        <v>160000</v>
      </c>
      <c r="L4" s="177" t="s">
        <v>337</v>
      </c>
    </row>
    <row r="5" spans="1:13" s="3" customFormat="1" ht="60" x14ac:dyDescent="0.25">
      <c r="A5" s="177" t="s">
        <v>342</v>
      </c>
      <c r="B5" s="110"/>
      <c r="C5" s="113">
        <v>9</v>
      </c>
      <c r="D5" s="111" t="s">
        <v>343</v>
      </c>
      <c r="E5" s="112" t="s">
        <v>109</v>
      </c>
      <c r="F5" s="112" t="s">
        <v>344</v>
      </c>
      <c r="G5" s="113">
        <v>2023</v>
      </c>
      <c r="H5" s="114"/>
      <c r="I5" s="115" t="s">
        <v>345</v>
      </c>
      <c r="J5" s="247">
        <f>K5/0.4</f>
        <v>10006875</v>
      </c>
      <c r="K5" s="116">
        <v>4002750</v>
      </c>
      <c r="L5" s="177" t="s">
        <v>346</v>
      </c>
      <c r="M5" s="171"/>
    </row>
    <row r="6" spans="1:13" s="3" customFormat="1" ht="45" x14ac:dyDescent="0.25">
      <c r="A6" s="177" t="s">
        <v>347</v>
      </c>
      <c r="B6" s="177" t="s">
        <v>348</v>
      </c>
      <c r="C6" s="113">
        <v>7</v>
      </c>
      <c r="D6" s="177" t="s">
        <v>334</v>
      </c>
      <c r="E6" s="177" t="s">
        <v>109</v>
      </c>
      <c r="F6" s="177" t="s">
        <v>349</v>
      </c>
      <c r="G6" s="195">
        <v>2022</v>
      </c>
      <c r="H6" s="195"/>
      <c r="I6" s="248" t="s">
        <v>345</v>
      </c>
      <c r="J6" s="249" t="s">
        <v>178</v>
      </c>
      <c r="K6" s="249">
        <v>27700000</v>
      </c>
      <c r="L6" s="177" t="s">
        <v>350</v>
      </c>
      <c r="M6" s="171"/>
    </row>
    <row r="7" spans="1:13" s="171" customFormat="1" ht="60" x14ac:dyDescent="0.25">
      <c r="A7" s="177" t="s">
        <v>351</v>
      </c>
      <c r="B7" s="177"/>
      <c r="C7" s="113">
        <v>2</v>
      </c>
      <c r="D7" s="177" t="s">
        <v>343</v>
      </c>
      <c r="E7" s="177" t="s">
        <v>109</v>
      </c>
      <c r="F7" s="177" t="s">
        <v>352</v>
      </c>
      <c r="G7" s="195">
        <v>2022</v>
      </c>
      <c r="H7" s="195"/>
      <c r="I7" s="248" t="s">
        <v>345</v>
      </c>
      <c r="J7" s="249">
        <f>K7/0.4</f>
        <v>47875000</v>
      </c>
      <c r="K7" s="249">
        <v>19150000</v>
      </c>
      <c r="L7" s="177" t="s">
        <v>350</v>
      </c>
    </row>
    <row r="8" spans="1:13" s="3" customFormat="1" ht="60" x14ac:dyDescent="0.25">
      <c r="A8" s="177" t="s">
        <v>353</v>
      </c>
      <c r="B8" s="177"/>
      <c r="C8" s="113">
        <v>5</v>
      </c>
      <c r="D8" s="177" t="s">
        <v>343</v>
      </c>
      <c r="E8" s="177" t="s">
        <v>109</v>
      </c>
      <c r="F8" s="177" t="s">
        <v>354</v>
      </c>
      <c r="G8" s="195">
        <v>2022</v>
      </c>
      <c r="H8" s="195">
        <v>2025</v>
      </c>
      <c r="I8" s="248" t="s">
        <v>345</v>
      </c>
      <c r="J8" s="249">
        <v>162000000</v>
      </c>
      <c r="K8" s="249">
        <v>45771985</v>
      </c>
      <c r="L8" s="177" t="s">
        <v>350</v>
      </c>
      <c r="M8" s="171"/>
    </row>
    <row r="9" spans="1:13" s="3" customFormat="1" ht="45" x14ac:dyDescent="0.25">
      <c r="A9" s="177" t="s">
        <v>355</v>
      </c>
      <c r="B9" s="177"/>
      <c r="C9" s="113">
        <v>1</v>
      </c>
      <c r="D9" s="177" t="s">
        <v>334</v>
      </c>
      <c r="E9" s="177" t="s">
        <v>109</v>
      </c>
      <c r="F9" s="177" t="s">
        <v>335</v>
      </c>
      <c r="G9" s="195">
        <v>2022</v>
      </c>
      <c r="H9" s="195">
        <v>2023</v>
      </c>
      <c r="I9" s="248" t="s">
        <v>336</v>
      </c>
      <c r="J9" s="249">
        <v>1940000</v>
      </c>
      <c r="K9" s="249">
        <v>1360000</v>
      </c>
      <c r="L9" s="177" t="s">
        <v>356</v>
      </c>
      <c r="M9" s="171"/>
    </row>
    <row r="10" spans="1:13" s="3" customFormat="1" ht="75" x14ac:dyDescent="0.25">
      <c r="A10" s="177" t="s">
        <v>357</v>
      </c>
      <c r="B10" s="177"/>
      <c r="C10" s="113">
        <v>7</v>
      </c>
      <c r="D10" s="177" t="s">
        <v>343</v>
      </c>
      <c r="E10" s="177" t="s">
        <v>109</v>
      </c>
      <c r="F10" s="177" t="s">
        <v>358</v>
      </c>
      <c r="G10" s="195"/>
      <c r="H10" s="195">
        <v>2024</v>
      </c>
      <c r="I10" s="248" t="s">
        <v>345</v>
      </c>
      <c r="J10" s="249">
        <f>K10/0.4</f>
        <v>14378875</v>
      </c>
      <c r="K10" s="249">
        <v>5751550</v>
      </c>
      <c r="L10" s="177" t="s">
        <v>359</v>
      </c>
      <c r="M10" s="171"/>
    </row>
    <row r="11" spans="1:13" s="3" customFormat="1" ht="60" x14ac:dyDescent="0.25">
      <c r="A11" s="177" t="s">
        <v>360</v>
      </c>
      <c r="B11" s="177"/>
      <c r="C11" s="113">
        <v>7</v>
      </c>
      <c r="D11" s="177" t="s">
        <v>343</v>
      </c>
      <c r="E11" s="177" t="s">
        <v>109</v>
      </c>
      <c r="F11" s="177" t="s">
        <v>361</v>
      </c>
      <c r="G11" s="195">
        <v>2022</v>
      </c>
      <c r="H11" s="195"/>
      <c r="I11" s="248" t="s">
        <v>345</v>
      </c>
      <c r="J11" s="249">
        <f>K11/0.4</f>
        <v>23853125</v>
      </c>
      <c r="K11" s="249">
        <v>9541250</v>
      </c>
      <c r="L11" s="177" t="s">
        <v>356</v>
      </c>
      <c r="M11" s="171"/>
    </row>
    <row r="12" spans="1:13" s="3" customFormat="1" ht="45" x14ac:dyDescent="0.25">
      <c r="A12" s="177" t="s">
        <v>362</v>
      </c>
      <c r="B12" s="177"/>
      <c r="C12" s="113"/>
      <c r="D12" s="177" t="s">
        <v>334</v>
      </c>
      <c r="E12" s="177" t="s">
        <v>109</v>
      </c>
      <c r="F12" s="177" t="s">
        <v>363</v>
      </c>
      <c r="G12" s="195">
        <v>2022</v>
      </c>
      <c r="H12" s="195">
        <v>2024</v>
      </c>
      <c r="I12" s="248" t="s">
        <v>336</v>
      </c>
      <c r="J12" s="249">
        <v>8000000</v>
      </c>
      <c r="K12" s="249">
        <v>2073334</v>
      </c>
      <c r="L12" s="177" t="s">
        <v>356</v>
      </c>
      <c r="M12" s="171"/>
    </row>
    <row r="13" spans="1:13" s="3" customFormat="1" ht="45" x14ac:dyDescent="0.25">
      <c r="A13" s="177" t="s">
        <v>364</v>
      </c>
      <c r="B13" s="177"/>
      <c r="C13" s="113"/>
      <c r="D13" s="177" t="s">
        <v>334</v>
      </c>
      <c r="E13" s="177" t="s">
        <v>109</v>
      </c>
      <c r="F13" s="177" t="s">
        <v>365</v>
      </c>
      <c r="G13" s="195">
        <v>2021</v>
      </c>
      <c r="H13" s="195">
        <v>2024</v>
      </c>
      <c r="I13" s="248" t="s">
        <v>336</v>
      </c>
      <c r="J13" s="249">
        <v>7190000</v>
      </c>
      <c r="K13" s="249">
        <v>1785000</v>
      </c>
      <c r="L13" s="177" t="s">
        <v>356</v>
      </c>
    </row>
    <row r="14" spans="1:13" s="3" customFormat="1" x14ac:dyDescent="0.25">
      <c r="A14" s="172"/>
      <c r="B14" s="172"/>
      <c r="C14" s="251"/>
      <c r="D14" s="172"/>
      <c r="E14" s="172"/>
      <c r="F14" s="172"/>
      <c r="G14" s="172"/>
      <c r="H14" s="172"/>
      <c r="I14" s="172"/>
      <c r="J14" s="172"/>
      <c r="K14" s="172"/>
      <c r="L14" s="172"/>
    </row>
    <row r="15" spans="1:13" s="3" customFormat="1" ht="45" x14ac:dyDescent="0.25">
      <c r="A15" s="19" t="s">
        <v>366</v>
      </c>
      <c r="B15" s="19" t="s">
        <v>348</v>
      </c>
      <c r="C15" s="41">
        <v>7</v>
      </c>
      <c r="D15" s="19" t="s">
        <v>334</v>
      </c>
      <c r="E15" s="19" t="s">
        <v>109</v>
      </c>
      <c r="F15" s="19" t="s">
        <v>367</v>
      </c>
      <c r="G15" s="41">
        <v>2020</v>
      </c>
      <c r="H15" s="41">
        <v>2022</v>
      </c>
      <c r="I15" s="117" t="s">
        <v>336</v>
      </c>
      <c r="J15" s="44">
        <v>960000</v>
      </c>
      <c r="K15" s="44">
        <v>480000</v>
      </c>
      <c r="L15" s="19" t="s">
        <v>356</v>
      </c>
    </row>
    <row r="16" spans="1:13" s="3" customFormat="1" ht="45" x14ac:dyDescent="0.25">
      <c r="A16" s="19" t="s">
        <v>368</v>
      </c>
      <c r="B16" s="19"/>
      <c r="C16" s="41">
        <v>1</v>
      </c>
      <c r="D16" s="19" t="s">
        <v>334</v>
      </c>
      <c r="E16" s="19" t="s">
        <v>109</v>
      </c>
      <c r="F16" s="19" t="s">
        <v>369</v>
      </c>
      <c r="G16" s="41">
        <v>2020</v>
      </c>
      <c r="H16" s="41">
        <v>2022</v>
      </c>
      <c r="I16" s="117" t="s">
        <v>336</v>
      </c>
      <c r="J16" s="44">
        <v>350000</v>
      </c>
      <c r="K16" s="44">
        <v>245000</v>
      </c>
      <c r="L16" s="19" t="s">
        <v>356</v>
      </c>
    </row>
    <row r="17" spans="1:12" s="3" customFormat="1" ht="45" x14ac:dyDescent="0.25">
      <c r="A17" s="19" t="s">
        <v>370</v>
      </c>
      <c r="B17" s="19"/>
      <c r="C17" s="41"/>
      <c r="D17" s="19" t="s">
        <v>334</v>
      </c>
      <c r="E17" s="19" t="s">
        <v>109</v>
      </c>
      <c r="F17" s="19" t="s">
        <v>371</v>
      </c>
      <c r="G17" s="41">
        <v>2020</v>
      </c>
      <c r="H17" s="41">
        <v>2022</v>
      </c>
      <c r="I17" s="117" t="s">
        <v>336</v>
      </c>
      <c r="J17" s="44">
        <v>3876393</v>
      </c>
      <c r="K17" s="44">
        <v>1550500</v>
      </c>
      <c r="L17" s="19" t="s">
        <v>356</v>
      </c>
    </row>
    <row r="18" spans="1:12" s="3" customFormat="1" ht="45" x14ac:dyDescent="0.25">
      <c r="A18" s="19" t="s">
        <v>372</v>
      </c>
      <c r="B18" s="19" t="s">
        <v>373</v>
      </c>
      <c r="C18" s="41">
        <v>4</v>
      </c>
      <c r="D18" s="19" t="s">
        <v>334</v>
      </c>
      <c r="E18" s="19" t="s">
        <v>109</v>
      </c>
      <c r="F18" s="19" t="s">
        <v>335</v>
      </c>
      <c r="G18" s="41">
        <v>2020</v>
      </c>
      <c r="H18" s="41">
        <v>2021</v>
      </c>
      <c r="I18" s="117" t="s">
        <v>336</v>
      </c>
      <c r="J18" s="44">
        <v>2034650</v>
      </c>
      <c r="K18" s="44">
        <v>1424200</v>
      </c>
      <c r="L18" s="19" t="s">
        <v>356</v>
      </c>
    </row>
    <row r="19" spans="1:12" s="3" customFormat="1" ht="45" x14ac:dyDescent="0.25">
      <c r="A19" s="19" t="s">
        <v>374</v>
      </c>
      <c r="B19" s="19" t="s">
        <v>145</v>
      </c>
      <c r="C19" s="41">
        <v>1</v>
      </c>
      <c r="D19" s="19" t="s">
        <v>334</v>
      </c>
      <c r="E19" s="19" t="s">
        <v>109</v>
      </c>
      <c r="F19" s="19" t="s">
        <v>375</v>
      </c>
      <c r="G19" s="41">
        <v>2020</v>
      </c>
      <c r="H19" s="41">
        <v>2021</v>
      </c>
      <c r="I19" s="117" t="s">
        <v>336</v>
      </c>
      <c r="J19" s="44">
        <v>98000</v>
      </c>
      <c r="K19" s="44">
        <v>49000</v>
      </c>
      <c r="L19" s="19" t="s">
        <v>356</v>
      </c>
    </row>
    <row r="20" spans="1:12" s="3" customFormat="1" ht="45" x14ac:dyDescent="0.25">
      <c r="A20" s="19" t="s">
        <v>376</v>
      </c>
      <c r="B20" s="19"/>
      <c r="C20" s="41"/>
      <c r="D20" s="19" t="s">
        <v>334</v>
      </c>
      <c r="E20" s="19" t="s">
        <v>109</v>
      </c>
      <c r="F20" s="19" t="s">
        <v>377</v>
      </c>
      <c r="G20" s="41">
        <v>2019</v>
      </c>
      <c r="H20" s="41">
        <v>2021</v>
      </c>
      <c r="I20" s="117" t="s">
        <v>336</v>
      </c>
      <c r="J20" s="44">
        <v>2553102</v>
      </c>
      <c r="K20" s="44">
        <v>1021000</v>
      </c>
      <c r="L20" s="19" t="s">
        <v>356</v>
      </c>
    </row>
    <row r="21" spans="1:12" s="3" customFormat="1" ht="45" x14ac:dyDescent="0.25">
      <c r="A21" s="19" t="s">
        <v>378</v>
      </c>
      <c r="B21" s="19"/>
      <c r="C21" s="41"/>
      <c r="D21" s="19" t="s">
        <v>334</v>
      </c>
      <c r="E21" s="19" t="s">
        <v>109</v>
      </c>
      <c r="F21" s="19" t="s">
        <v>379</v>
      </c>
      <c r="G21" s="41">
        <v>2018</v>
      </c>
      <c r="H21" s="41">
        <v>2020</v>
      </c>
      <c r="I21" s="117" t="s">
        <v>336</v>
      </c>
      <c r="J21" s="44">
        <v>14393000</v>
      </c>
      <c r="K21" s="44">
        <v>5757000</v>
      </c>
      <c r="L21" s="19" t="s">
        <v>356</v>
      </c>
    </row>
    <row r="22" spans="1:12" s="3" customFormat="1" ht="45" x14ac:dyDescent="0.25">
      <c r="A22" s="19" t="s">
        <v>380</v>
      </c>
      <c r="B22" s="19"/>
      <c r="C22" s="41"/>
      <c r="D22" s="19" t="s">
        <v>334</v>
      </c>
      <c r="E22" s="19" t="s">
        <v>109</v>
      </c>
      <c r="F22" s="19" t="s">
        <v>381</v>
      </c>
      <c r="G22" s="41">
        <v>2018</v>
      </c>
      <c r="H22" s="41">
        <v>2020</v>
      </c>
      <c r="I22" s="117" t="s">
        <v>336</v>
      </c>
      <c r="J22" s="44">
        <v>994300</v>
      </c>
      <c r="K22" s="44">
        <v>497150</v>
      </c>
      <c r="L22" s="19" t="s">
        <v>356</v>
      </c>
    </row>
    <row r="23" spans="1:12" s="3" customFormat="1" ht="45" x14ac:dyDescent="0.25">
      <c r="A23" s="19" t="s">
        <v>382</v>
      </c>
      <c r="B23" s="19"/>
      <c r="C23" s="41"/>
      <c r="D23" s="19" t="s">
        <v>334</v>
      </c>
      <c r="E23" s="19" t="s">
        <v>109</v>
      </c>
      <c r="F23" s="19" t="s">
        <v>383</v>
      </c>
      <c r="G23" s="41">
        <v>2018</v>
      </c>
      <c r="H23" s="41">
        <v>2019</v>
      </c>
      <c r="I23" s="117" t="s">
        <v>336</v>
      </c>
      <c r="J23" s="44">
        <v>252500</v>
      </c>
      <c r="K23" s="44">
        <v>126000</v>
      </c>
      <c r="L23" s="19" t="s">
        <v>356</v>
      </c>
    </row>
    <row r="24" spans="1:12" s="3" customFormat="1" ht="45" x14ac:dyDescent="0.25">
      <c r="A24" s="19" t="s">
        <v>384</v>
      </c>
      <c r="B24" s="19"/>
      <c r="C24" s="41"/>
      <c r="D24" s="19" t="s">
        <v>334</v>
      </c>
      <c r="E24" s="19" t="s">
        <v>109</v>
      </c>
      <c r="F24" s="19" t="s">
        <v>335</v>
      </c>
      <c r="G24" s="41">
        <v>2018</v>
      </c>
      <c r="H24" s="41">
        <v>2021</v>
      </c>
      <c r="I24" s="117" t="s">
        <v>336</v>
      </c>
      <c r="J24" s="44">
        <v>2404002</v>
      </c>
      <c r="K24" s="44">
        <v>1066000</v>
      </c>
      <c r="L24" s="19" t="s">
        <v>356</v>
      </c>
    </row>
    <row r="25" spans="1:12" s="3" customFormat="1" ht="45" x14ac:dyDescent="0.25">
      <c r="A25" s="19" t="s">
        <v>385</v>
      </c>
      <c r="B25" s="19"/>
      <c r="C25" s="41"/>
      <c r="D25" s="19" t="s">
        <v>334</v>
      </c>
      <c r="E25" s="19" t="s">
        <v>109</v>
      </c>
      <c r="F25" s="19" t="s">
        <v>386</v>
      </c>
      <c r="G25" s="41">
        <v>2018</v>
      </c>
      <c r="H25" s="41">
        <v>2019</v>
      </c>
      <c r="I25" s="117" t="s">
        <v>336</v>
      </c>
      <c r="J25" s="44">
        <v>830250</v>
      </c>
      <c r="K25" s="44">
        <v>330000</v>
      </c>
      <c r="L25" s="19" t="s">
        <v>356</v>
      </c>
    </row>
    <row r="26" spans="1:12" s="3" customFormat="1" ht="60" x14ac:dyDescent="0.25">
      <c r="A26" s="19" t="s">
        <v>387</v>
      </c>
      <c r="B26" s="19" t="s">
        <v>145</v>
      </c>
      <c r="C26" s="41"/>
      <c r="D26" s="19" t="s">
        <v>334</v>
      </c>
      <c r="E26" s="19" t="s">
        <v>109</v>
      </c>
      <c r="F26" s="19" t="s">
        <v>388</v>
      </c>
      <c r="G26" s="41">
        <v>2018</v>
      </c>
      <c r="H26" s="41">
        <v>2020</v>
      </c>
      <c r="I26" s="117" t="s">
        <v>336</v>
      </c>
      <c r="J26" s="44">
        <v>374531</v>
      </c>
      <c r="K26" s="44">
        <v>262000</v>
      </c>
      <c r="L26" s="19" t="s">
        <v>389</v>
      </c>
    </row>
    <row r="27" spans="1:12" s="3" customFormat="1" ht="60" x14ac:dyDescent="0.25">
      <c r="A27" s="19" t="s">
        <v>390</v>
      </c>
      <c r="B27" s="19" t="s">
        <v>145</v>
      </c>
      <c r="C27" s="41">
        <v>1</v>
      </c>
      <c r="D27" s="19" t="s">
        <v>334</v>
      </c>
      <c r="E27" s="19" t="s">
        <v>109</v>
      </c>
      <c r="F27" s="19" t="s">
        <v>109</v>
      </c>
      <c r="G27" s="41">
        <v>2017</v>
      </c>
      <c r="H27" s="41">
        <v>2020</v>
      </c>
      <c r="I27" s="117" t="s">
        <v>336</v>
      </c>
      <c r="J27" s="44">
        <v>478402</v>
      </c>
      <c r="K27" s="44">
        <v>239000</v>
      </c>
      <c r="L27" s="19" t="s">
        <v>389</v>
      </c>
    </row>
    <row r="28" spans="1:12" s="3" customFormat="1" ht="60" x14ac:dyDescent="0.25">
      <c r="A28" s="19" t="s">
        <v>391</v>
      </c>
      <c r="B28" s="19" t="s">
        <v>145</v>
      </c>
      <c r="C28" s="41"/>
      <c r="D28" s="19" t="s">
        <v>334</v>
      </c>
      <c r="E28" s="19" t="s">
        <v>109</v>
      </c>
      <c r="F28" s="19" t="s">
        <v>375</v>
      </c>
      <c r="G28" s="41">
        <v>2018</v>
      </c>
      <c r="H28" s="41">
        <v>2021</v>
      </c>
      <c r="I28" s="117" t="s">
        <v>336</v>
      </c>
      <c r="J28" s="44">
        <v>99900</v>
      </c>
      <c r="K28" s="44">
        <v>49950</v>
      </c>
      <c r="L28" s="19" t="s">
        <v>389</v>
      </c>
    </row>
    <row r="29" spans="1:12" s="3" customFormat="1" ht="60" x14ac:dyDescent="0.25">
      <c r="A29" s="19" t="s">
        <v>392</v>
      </c>
      <c r="B29" s="19"/>
      <c r="C29" s="41"/>
      <c r="D29" s="19" t="s">
        <v>334</v>
      </c>
      <c r="E29" s="19" t="s">
        <v>109</v>
      </c>
      <c r="F29" s="19" t="s">
        <v>335</v>
      </c>
      <c r="G29" s="41">
        <v>2018</v>
      </c>
      <c r="H29" s="41">
        <v>2020</v>
      </c>
      <c r="I29" s="117" t="s">
        <v>336</v>
      </c>
      <c r="J29" s="44">
        <v>1344000</v>
      </c>
      <c r="K29" s="44">
        <v>778000</v>
      </c>
      <c r="L29" s="19" t="s">
        <v>389</v>
      </c>
    </row>
    <row r="30" spans="1:12" s="3" customFormat="1" ht="45" x14ac:dyDescent="0.25">
      <c r="A30" s="19" t="s">
        <v>393</v>
      </c>
      <c r="B30" s="19" t="s">
        <v>145</v>
      </c>
      <c r="C30" s="41">
        <v>1</v>
      </c>
      <c r="D30" s="19" t="s">
        <v>334</v>
      </c>
      <c r="E30" s="19" t="s">
        <v>109</v>
      </c>
      <c r="F30" s="19" t="s">
        <v>394</v>
      </c>
      <c r="G30" s="41">
        <v>2017</v>
      </c>
      <c r="H30" s="41">
        <v>2018</v>
      </c>
      <c r="I30" s="117" t="s">
        <v>336</v>
      </c>
      <c r="J30" s="44">
        <v>544327</v>
      </c>
      <c r="K30" s="44">
        <v>272000</v>
      </c>
      <c r="L30" s="19" t="s">
        <v>356</v>
      </c>
    </row>
    <row r="31" spans="1:12" s="3" customFormat="1" ht="45" x14ac:dyDescent="0.25">
      <c r="A31" s="19" t="s">
        <v>395</v>
      </c>
      <c r="B31" s="19"/>
      <c r="C31" s="41"/>
      <c r="D31" s="19" t="s">
        <v>334</v>
      </c>
      <c r="E31" s="19" t="s">
        <v>109</v>
      </c>
      <c r="F31" s="19" t="s">
        <v>371</v>
      </c>
      <c r="G31" s="41">
        <v>2017</v>
      </c>
      <c r="H31" s="41">
        <v>2019</v>
      </c>
      <c r="I31" s="117" t="s">
        <v>336</v>
      </c>
      <c r="J31" s="44">
        <v>2786445</v>
      </c>
      <c r="K31" s="44">
        <v>1114000</v>
      </c>
      <c r="L31" s="19" t="s">
        <v>356</v>
      </c>
    </row>
    <row r="32" spans="1:12" s="3" customFormat="1" ht="45" x14ac:dyDescent="0.25">
      <c r="A32" s="19" t="s">
        <v>396</v>
      </c>
      <c r="B32" s="19"/>
      <c r="C32" s="41">
        <v>1</v>
      </c>
      <c r="D32" s="19" t="s">
        <v>334</v>
      </c>
      <c r="E32" s="19" t="s">
        <v>109</v>
      </c>
      <c r="F32" s="19" t="s">
        <v>397</v>
      </c>
      <c r="G32" s="41">
        <v>2017</v>
      </c>
      <c r="H32" s="41">
        <v>2019</v>
      </c>
      <c r="I32" s="117" t="s">
        <v>336</v>
      </c>
      <c r="J32" s="44">
        <v>626968</v>
      </c>
      <c r="K32" s="44">
        <v>375900</v>
      </c>
      <c r="L32" s="19" t="s">
        <v>356</v>
      </c>
    </row>
    <row r="33" spans="1:12" s="3" customFormat="1" ht="45" x14ac:dyDescent="0.25">
      <c r="A33" s="19" t="s">
        <v>398</v>
      </c>
      <c r="B33" s="19"/>
      <c r="C33" s="41"/>
      <c r="D33" s="19" t="s">
        <v>334</v>
      </c>
      <c r="E33" s="19" t="s">
        <v>109</v>
      </c>
      <c r="F33" s="19" t="s">
        <v>109</v>
      </c>
      <c r="G33" s="41">
        <v>2016</v>
      </c>
      <c r="H33" s="41">
        <v>2019</v>
      </c>
      <c r="I33" s="117" t="s">
        <v>336</v>
      </c>
      <c r="J33" s="44">
        <v>1300000</v>
      </c>
      <c r="K33" s="44">
        <v>780000</v>
      </c>
      <c r="L33" s="19" t="s">
        <v>356</v>
      </c>
    </row>
    <row r="34" spans="1:12" s="3" customFormat="1" ht="45" x14ac:dyDescent="0.25">
      <c r="A34" s="19" t="s">
        <v>399</v>
      </c>
      <c r="B34" s="19" t="s">
        <v>400</v>
      </c>
      <c r="C34" s="41">
        <v>1</v>
      </c>
      <c r="D34" s="19" t="s">
        <v>334</v>
      </c>
      <c r="E34" s="19" t="s">
        <v>109</v>
      </c>
      <c r="F34" s="19" t="s">
        <v>109</v>
      </c>
      <c r="G34" s="41">
        <v>2016</v>
      </c>
      <c r="H34" s="41">
        <v>2018</v>
      </c>
      <c r="I34" s="117" t="s">
        <v>336</v>
      </c>
      <c r="J34" s="44">
        <v>2700000</v>
      </c>
      <c r="K34" s="44">
        <v>1500000</v>
      </c>
      <c r="L34" s="19" t="s">
        <v>356</v>
      </c>
    </row>
    <row r="35" spans="1:12" s="3" customFormat="1" ht="45" x14ac:dyDescent="0.25">
      <c r="A35" s="19" t="s">
        <v>401</v>
      </c>
      <c r="B35" s="19" t="s">
        <v>402</v>
      </c>
      <c r="C35" s="41">
        <v>11</v>
      </c>
      <c r="D35" s="19" t="s">
        <v>334</v>
      </c>
      <c r="E35" s="19" t="s">
        <v>109</v>
      </c>
      <c r="F35" s="19" t="s">
        <v>109</v>
      </c>
      <c r="G35" s="41">
        <v>2016</v>
      </c>
      <c r="H35" s="41">
        <v>2018</v>
      </c>
      <c r="I35" s="117" t="s">
        <v>336</v>
      </c>
      <c r="J35" s="44">
        <v>494900</v>
      </c>
      <c r="K35" s="44">
        <v>444900</v>
      </c>
      <c r="L35" s="19" t="s">
        <v>356</v>
      </c>
    </row>
    <row r="36" spans="1:12" s="3" customFormat="1" ht="45" x14ac:dyDescent="0.25">
      <c r="A36" s="19" t="s">
        <v>403</v>
      </c>
      <c r="B36" s="19" t="s">
        <v>145</v>
      </c>
      <c r="C36" s="41"/>
      <c r="D36" s="19" t="s">
        <v>334</v>
      </c>
      <c r="E36" s="19" t="s">
        <v>109</v>
      </c>
      <c r="F36" s="19" t="s">
        <v>109</v>
      </c>
      <c r="G36" s="41">
        <v>2015</v>
      </c>
      <c r="H36" s="41">
        <v>2018</v>
      </c>
      <c r="I36" s="117" t="s">
        <v>336</v>
      </c>
      <c r="J36" s="44">
        <v>200083</v>
      </c>
      <c r="K36" s="44">
        <v>80000</v>
      </c>
      <c r="L36" s="19" t="s">
        <v>356</v>
      </c>
    </row>
    <row r="37" spans="1:12" s="3" customFormat="1" ht="45" x14ac:dyDescent="0.25">
      <c r="A37" s="19" t="s">
        <v>404</v>
      </c>
      <c r="B37" s="19"/>
      <c r="C37" s="41"/>
      <c r="D37" s="19" t="s">
        <v>334</v>
      </c>
      <c r="E37" s="19" t="s">
        <v>109</v>
      </c>
      <c r="F37" s="19" t="s">
        <v>405</v>
      </c>
      <c r="G37" s="41">
        <v>2015</v>
      </c>
      <c r="H37" s="41">
        <v>2018</v>
      </c>
      <c r="I37" s="117" t="s">
        <v>336</v>
      </c>
      <c r="J37" s="44">
        <v>475000</v>
      </c>
      <c r="K37" s="44">
        <v>285000</v>
      </c>
      <c r="L37" s="19" t="s">
        <v>356</v>
      </c>
    </row>
    <row r="38" spans="1:12" s="3" customFormat="1" ht="45" x14ac:dyDescent="0.25">
      <c r="A38" s="19" t="s">
        <v>406</v>
      </c>
      <c r="B38" s="19" t="s">
        <v>145</v>
      </c>
      <c r="C38" s="41">
        <v>1</v>
      </c>
      <c r="D38" s="19" t="s">
        <v>334</v>
      </c>
      <c r="E38" s="19" t="s">
        <v>109</v>
      </c>
      <c r="F38" s="19" t="s">
        <v>109</v>
      </c>
      <c r="G38" s="41">
        <v>2015</v>
      </c>
      <c r="H38" s="41">
        <v>2018</v>
      </c>
      <c r="I38" s="117" t="s">
        <v>336</v>
      </c>
      <c r="J38" s="44">
        <v>100000</v>
      </c>
      <c r="K38" s="44">
        <v>50000</v>
      </c>
      <c r="L38" s="19" t="s">
        <v>356</v>
      </c>
    </row>
    <row r="39" spans="1:12" ht="45" x14ac:dyDescent="0.25">
      <c r="A39" s="19" t="s">
        <v>407</v>
      </c>
      <c r="B39" s="19"/>
      <c r="C39" s="41"/>
      <c r="D39" s="19" t="s">
        <v>334</v>
      </c>
      <c r="E39" s="19" t="s">
        <v>109</v>
      </c>
      <c r="F39" s="19" t="s">
        <v>408</v>
      </c>
      <c r="G39" s="41">
        <v>2015</v>
      </c>
      <c r="H39" s="41">
        <v>2018</v>
      </c>
      <c r="I39" s="117" t="s">
        <v>336</v>
      </c>
      <c r="J39" s="44">
        <v>3959100</v>
      </c>
      <c r="K39" s="44">
        <v>1979000</v>
      </c>
      <c r="L39" s="19" t="s">
        <v>356</v>
      </c>
    </row>
    <row r="40" spans="1:12" ht="45" x14ac:dyDescent="0.25">
      <c r="A40" s="19" t="s">
        <v>409</v>
      </c>
      <c r="B40" s="19" t="s">
        <v>47</v>
      </c>
      <c r="C40" s="41">
        <v>1</v>
      </c>
      <c r="D40" s="19" t="s">
        <v>334</v>
      </c>
      <c r="E40" s="19" t="s">
        <v>109</v>
      </c>
      <c r="F40" s="19" t="s">
        <v>377</v>
      </c>
      <c r="G40" s="41">
        <v>2013</v>
      </c>
      <c r="H40" s="41">
        <v>2020</v>
      </c>
      <c r="I40" s="117" t="s">
        <v>336</v>
      </c>
      <c r="J40" s="44">
        <v>10478934</v>
      </c>
      <c r="K40" s="44">
        <v>3143000</v>
      </c>
      <c r="L40" s="19" t="s">
        <v>356</v>
      </c>
    </row>
    <row r="41" spans="1:12" ht="45" x14ac:dyDescent="0.25">
      <c r="A41" s="19" t="s">
        <v>410</v>
      </c>
      <c r="B41" s="23"/>
      <c r="D41" s="19" t="s">
        <v>339</v>
      </c>
      <c r="E41" s="23"/>
      <c r="F41" s="23" t="s">
        <v>335</v>
      </c>
      <c r="G41" s="18"/>
      <c r="H41" s="18"/>
      <c r="I41" s="26" t="s">
        <v>341</v>
      </c>
      <c r="J41" s="30">
        <f>K41</f>
        <v>448045</v>
      </c>
      <c r="K41" s="30">
        <v>448045</v>
      </c>
      <c r="L41" s="19" t="s">
        <v>411</v>
      </c>
    </row>
    <row r="42" spans="1:12" ht="60" x14ac:dyDescent="0.25">
      <c r="A42" s="19" t="s">
        <v>412</v>
      </c>
      <c r="B42" s="23"/>
      <c r="D42" s="19" t="s">
        <v>339</v>
      </c>
      <c r="E42" s="23"/>
      <c r="F42" s="23" t="s">
        <v>413</v>
      </c>
      <c r="G42" s="18"/>
      <c r="H42" s="18"/>
      <c r="I42" s="26" t="s">
        <v>341</v>
      </c>
      <c r="J42" s="30">
        <f t="shared" ref="J42:J52" si="0">K42</f>
        <v>868779</v>
      </c>
      <c r="K42" s="30">
        <v>868779</v>
      </c>
      <c r="L42" s="19" t="s">
        <v>414</v>
      </c>
    </row>
    <row r="43" spans="1:12" ht="45" x14ac:dyDescent="0.25">
      <c r="A43" s="19" t="s">
        <v>415</v>
      </c>
      <c r="B43" s="23"/>
      <c r="D43" s="19" t="s">
        <v>339</v>
      </c>
      <c r="E43" s="23"/>
      <c r="F43" s="23" t="s">
        <v>413</v>
      </c>
      <c r="G43" s="18"/>
      <c r="H43" s="18"/>
      <c r="I43" s="26" t="s">
        <v>341</v>
      </c>
      <c r="J43" s="30">
        <f t="shared" si="0"/>
        <v>739893</v>
      </c>
      <c r="K43" s="30">
        <v>739893</v>
      </c>
      <c r="L43" s="19" t="s">
        <v>416</v>
      </c>
    </row>
    <row r="44" spans="1:12" ht="45" x14ac:dyDescent="0.25">
      <c r="A44" s="19" t="s">
        <v>417</v>
      </c>
      <c r="B44" s="23"/>
      <c r="D44" s="19" t="s">
        <v>339</v>
      </c>
      <c r="E44" s="23"/>
      <c r="F44" s="23" t="s">
        <v>413</v>
      </c>
      <c r="G44" s="18"/>
      <c r="H44" s="18"/>
      <c r="I44" s="26" t="s">
        <v>341</v>
      </c>
      <c r="J44" s="30">
        <f t="shared" si="0"/>
        <v>100600</v>
      </c>
      <c r="K44" s="30">
        <v>100600</v>
      </c>
      <c r="L44" s="19" t="s">
        <v>418</v>
      </c>
    </row>
    <row r="45" spans="1:12" ht="45" x14ac:dyDescent="0.25">
      <c r="A45" s="19" t="s">
        <v>419</v>
      </c>
      <c r="B45" s="23"/>
      <c r="D45" s="19" t="s">
        <v>339</v>
      </c>
      <c r="E45" s="23"/>
      <c r="F45" s="23" t="s">
        <v>420</v>
      </c>
      <c r="G45" s="18"/>
      <c r="H45" s="18"/>
      <c r="I45" s="26" t="s">
        <v>341</v>
      </c>
      <c r="J45" s="30">
        <f t="shared" si="0"/>
        <v>612832</v>
      </c>
      <c r="K45" s="30">
        <v>612832</v>
      </c>
      <c r="L45" s="19" t="s">
        <v>411</v>
      </c>
    </row>
    <row r="46" spans="1:12" ht="75" x14ac:dyDescent="0.25">
      <c r="A46" s="19" t="s">
        <v>421</v>
      </c>
      <c r="B46" s="23"/>
      <c r="D46" s="19" t="s">
        <v>339</v>
      </c>
      <c r="E46" s="23"/>
      <c r="F46" s="23" t="s">
        <v>420</v>
      </c>
      <c r="G46" s="18"/>
      <c r="H46" s="18"/>
      <c r="I46" s="26" t="s">
        <v>341</v>
      </c>
      <c r="J46" s="30">
        <f t="shared" si="0"/>
        <v>333872</v>
      </c>
      <c r="K46" s="30">
        <v>333872</v>
      </c>
      <c r="L46" s="19" t="s">
        <v>418</v>
      </c>
    </row>
    <row r="47" spans="1:12" ht="45" x14ac:dyDescent="0.25">
      <c r="A47" s="19" t="s">
        <v>422</v>
      </c>
      <c r="B47" s="23"/>
      <c r="D47" s="19" t="s">
        <v>339</v>
      </c>
      <c r="E47" s="23"/>
      <c r="F47" s="23" t="s">
        <v>423</v>
      </c>
      <c r="G47" s="18"/>
      <c r="H47" s="18"/>
      <c r="I47" s="26" t="s">
        <v>341</v>
      </c>
      <c r="J47" s="30">
        <f>K47</f>
        <v>339019</v>
      </c>
      <c r="K47" s="30">
        <v>339019</v>
      </c>
      <c r="L47" s="19" t="s">
        <v>418</v>
      </c>
    </row>
    <row r="48" spans="1:12" ht="45" x14ac:dyDescent="0.25">
      <c r="A48" s="19" t="s">
        <v>424</v>
      </c>
      <c r="B48" s="23"/>
      <c r="D48" s="19" t="s">
        <v>339</v>
      </c>
      <c r="E48" s="23"/>
      <c r="F48" s="23" t="s">
        <v>425</v>
      </c>
      <c r="G48" s="18"/>
      <c r="H48" s="18"/>
      <c r="I48" s="26" t="s">
        <v>341</v>
      </c>
      <c r="J48" s="30">
        <f t="shared" si="0"/>
        <v>341557</v>
      </c>
      <c r="K48" s="30">
        <v>341557</v>
      </c>
      <c r="L48" s="19" t="s">
        <v>411</v>
      </c>
    </row>
    <row r="49" spans="1:12" ht="45" x14ac:dyDescent="0.25">
      <c r="A49" s="19" t="s">
        <v>426</v>
      </c>
      <c r="B49" s="23"/>
      <c r="C49" s="18">
        <v>1</v>
      </c>
      <c r="D49" s="19" t="s">
        <v>339</v>
      </c>
      <c r="E49" s="23"/>
      <c r="F49" s="23" t="s">
        <v>427</v>
      </c>
      <c r="G49" s="18"/>
      <c r="H49" s="18"/>
      <c r="I49" s="26" t="s">
        <v>341</v>
      </c>
      <c r="J49" s="30">
        <f t="shared" si="0"/>
        <v>320457</v>
      </c>
      <c r="K49" s="30">
        <v>320457</v>
      </c>
      <c r="L49" s="19" t="s">
        <v>428</v>
      </c>
    </row>
    <row r="50" spans="1:12" ht="45" x14ac:dyDescent="0.25">
      <c r="A50" s="19" t="s">
        <v>429</v>
      </c>
      <c r="B50" s="23"/>
      <c r="C50" s="18">
        <v>8</v>
      </c>
      <c r="D50" s="19" t="s">
        <v>339</v>
      </c>
      <c r="E50" s="23"/>
      <c r="F50" s="23" t="s">
        <v>430</v>
      </c>
      <c r="G50" s="18"/>
      <c r="H50" s="18"/>
      <c r="I50" s="26" t="s">
        <v>341</v>
      </c>
      <c r="J50" s="30">
        <f t="shared" si="0"/>
        <v>347488</v>
      </c>
      <c r="K50" s="30">
        <v>347488</v>
      </c>
      <c r="L50" s="19" t="s">
        <v>418</v>
      </c>
    </row>
    <row r="51" spans="1:12" ht="45" x14ac:dyDescent="0.25">
      <c r="A51" s="19" t="s">
        <v>431</v>
      </c>
      <c r="B51" s="23"/>
      <c r="C51" s="18">
        <v>1</v>
      </c>
      <c r="D51" s="19" t="s">
        <v>339</v>
      </c>
      <c r="E51" s="23"/>
      <c r="F51" s="23" t="s">
        <v>425</v>
      </c>
      <c r="G51" s="18"/>
      <c r="H51" s="18"/>
      <c r="I51" s="26" t="s">
        <v>341</v>
      </c>
      <c r="J51" s="30">
        <f t="shared" si="0"/>
        <v>236663</v>
      </c>
      <c r="K51" s="30">
        <v>236663</v>
      </c>
      <c r="L51" s="19" t="s">
        <v>428</v>
      </c>
    </row>
    <row r="52" spans="1:12" ht="45" x14ac:dyDescent="0.25">
      <c r="A52" s="19" t="s">
        <v>432</v>
      </c>
      <c r="B52" s="23"/>
      <c r="D52" s="19" t="s">
        <v>339</v>
      </c>
      <c r="E52" s="23"/>
      <c r="F52" s="23" t="s">
        <v>433</v>
      </c>
      <c r="G52" s="18"/>
      <c r="H52" s="18"/>
      <c r="I52" s="26" t="s">
        <v>341</v>
      </c>
      <c r="J52" s="30">
        <f t="shared" si="0"/>
        <v>366271</v>
      </c>
      <c r="K52" s="30">
        <v>366271</v>
      </c>
      <c r="L52" s="19" t="s">
        <v>418</v>
      </c>
    </row>
    <row r="53" spans="1:12" x14ac:dyDescent="0.25">
      <c r="A53" s="19"/>
      <c r="B53" s="23"/>
      <c r="D53" s="19"/>
      <c r="E53" s="23"/>
      <c r="F53" s="23"/>
      <c r="G53" s="18"/>
      <c r="H53" s="18"/>
      <c r="I53" s="18"/>
      <c r="J53" s="30"/>
      <c r="K53" s="30"/>
      <c r="L53" s="19"/>
    </row>
    <row r="54" spans="1:12" x14ac:dyDescent="0.25">
      <c r="A54" s="19"/>
      <c r="B54" s="23"/>
      <c r="D54" s="19"/>
      <c r="E54" s="23"/>
      <c r="F54" s="23"/>
      <c r="G54" s="18"/>
      <c r="H54" s="18"/>
      <c r="I54" s="18"/>
      <c r="J54" s="118">
        <f>SUM(J3:J5)+SUM(J7:J13)+SUM(J15:J52)</f>
        <v>338857280.85714287</v>
      </c>
      <c r="K54" s="97">
        <f>SUM(K3:K13)+SUM(K15:K52)</f>
        <v>148832345</v>
      </c>
      <c r="L54" s="97">
        <f>J54-K54</f>
        <v>190024935.85714287</v>
      </c>
    </row>
    <row r="55" spans="1:12" x14ac:dyDescent="0.25">
      <c r="A55" s="19"/>
      <c r="B55" s="23"/>
      <c r="D55" s="132"/>
      <c r="E55" s="23"/>
      <c r="F55" s="23"/>
      <c r="G55" s="18"/>
      <c r="H55" s="18"/>
      <c r="I55" s="18"/>
      <c r="K55" s="91" t="s">
        <v>247</v>
      </c>
      <c r="L55" s="98" t="s">
        <v>211</v>
      </c>
    </row>
    <row r="57" spans="1:12" x14ac:dyDescent="0.25">
      <c r="J57" s="58"/>
      <c r="K57" s="58"/>
      <c r="L57" s="58"/>
    </row>
    <row r="58" spans="1:12" x14ac:dyDescent="0.25">
      <c r="K58" s="46"/>
      <c r="L58" s="41"/>
    </row>
  </sheetData>
  <pageMargins left="0.7" right="0.7" top="0.75" bottom="0.75" header="0.3" footer="0.3"/>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FA7A-1D9A-452D-B73B-4D5C514BB8FB}">
  <sheetPr>
    <pageSetUpPr fitToPage="1"/>
  </sheetPr>
  <dimension ref="A1:L118"/>
  <sheetViews>
    <sheetView zoomScale="90" zoomScaleNormal="90" workbookViewId="0"/>
  </sheetViews>
  <sheetFormatPr defaultColWidth="9.140625" defaultRowHeight="15" x14ac:dyDescent="0.25"/>
  <cols>
    <col min="1" max="1" width="58.7109375" customWidth="1"/>
    <col min="2" max="2" width="12.85546875" hidden="1" customWidth="1"/>
    <col min="3" max="3" width="15.28515625" customWidth="1"/>
    <col min="4" max="4" width="16.7109375" customWidth="1"/>
    <col min="5" max="5" width="17.140625" customWidth="1"/>
    <col min="6" max="6" width="28.28515625" customWidth="1"/>
    <col min="7" max="7" width="12.85546875" customWidth="1"/>
    <col min="9" max="9" width="10.42578125" customWidth="1"/>
    <col min="10" max="10" width="15.7109375" customWidth="1"/>
    <col min="11" max="11" width="19.85546875" customWidth="1"/>
    <col min="12" max="12" width="17.140625" customWidth="1"/>
  </cols>
  <sheetData>
    <row r="1" spans="1:12" s="12" customFormat="1" ht="31.5" x14ac:dyDescent="0.5">
      <c r="A1" s="34" t="s">
        <v>44</v>
      </c>
    </row>
    <row r="2" spans="1:12" s="1" customFormat="1" ht="31.5" x14ac:dyDescent="0.25">
      <c r="A2" s="8" t="s">
        <v>1</v>
      </c>
      <c r="B2" s="8" t="s">
        <v>2</v>
      </c>
      <c r="C2" s="27" t="s">
        <v>3</v>
      </c>
      <c r="D2" s="8" t="s">
        <v>4</v>
      </c>
      <c r="E2" s="9" t="s">
        <v>162</v>
      </c>
      <c r="F2" s="8" t="s">
        <v>163</v>
      </c>
      <c r="G2" s="8" t="s">
        <v>6</v>
      </c>
      <c r="H2" s="9" t="s">
        <v>7</v>
      </c>
      <c r="I2" s="9" t="s">
        <v>8</v>
      </c>
      <c r="J2" s="8" t="s">
        <v>9</v>
      </c>
      <c r="K2" s="9" t="s">
        <v>164</v>
      </c>
      <c r="L2" s="9" t="s">
        <v>11</v>
      </c>
    </row>
    <row r="3" spans="1:12" x14ac:dyDescent="0.25">
      <c r="A3" s="177" t="s">
        <v>434</v>
      </c>
      <c r="B3" s="173" t="s">
        <v>435</v>
      </c>
      <c r="C3" s="173"/>
      <c r="D3" s="173" t="s">
        <v>436</v>
      </c>
      <c r="E3" s="173" t="s">
        <v>44</v>
      </c>
      <c r="F3" s="177" t="s">
        <v>161</v>
      </c>
      <c r="G3" s="173">
        <v>2010</v>
      </c>
      <c r="H3" s="173">
        <v>2020</v>
      </c>
      <c r="I3" s="173" t="s">
        <v>268</v>
      </c>
      <c r="J3" s="204">
        <v>190000000</v>
      </c>
      <c r="K3" s="242">
        <v>33200000</v>
      </c>
      <c r="L3" s="173"/>
    </row>
    <row r="4" spans="1:12" ht="45" x14ac:dyDescent="0.25">
      <c r="A4" s="177" t="s">
        <v>437</v>
      </c>
      <c r="B4" s="173" t="s">
        <v>435</v>
      </c>
      <c r="C4" s="173"/>
      <c r="D4" s="173" t="s">
        <v>438</v>
      </c>
      <c r="E4" s="173" t="s">
        <v>44</v>
      </c>
      <c r="F4" s="177" t="s">
        <v>439</v>
      </c>
      <c r="G4" s="173"/>
      <c r="H4" s="173"/>
      <c r="I4" s="173"/>
      <c r="J4" s="173"/>
      <c r="K4" s="204">
        <v>677258</v>
      </c>
      <c r="L4" s="173"/>
    </row>
    <row r="5" spans="1:12" ht="45" x14ac:dyDescent="0.25">
      <c r="A5" s="19" t="s">
        <v>440</v>
      </c>
      <c r="B5" s="23" t="s">
        <v>435</v>
      </c>
      <c r="C5" s="23"/>
      <c r="D5" s="23" t="s">
        <v>438</v>
      </c>
      <c r="E5" s="23" t="s">
        <v>44</v>
      </c>
      <c r="F5" s="19" t="s">
        <v>441</v>
      </c>
      <c r="G5" s="23">
        <v>2014</v>
      </c>
      <c r="H5" s="23">
        <v>2018</v>
      </c>
      <c r="I5" s="23"/>
      <c r="J5" s="23"/>
      <c r="K5" s="24">
        <v>190041</v>
      </c>
      <c r="L5" s="23"/>
    </row>
    <row r="6" spans="1:12" ht="45" x14ac:dyDescent="0.25">
      <c r="A6" s="19" t="s">
        <v>442</v>
      </c>
      <c r="B6" s="23" t="s">
        <v>443</v>
      </c>
      <c r="C6" s="23"/>
      <c r="D6" s="23" t="s">
        <v>438</v>
      </c>
      <c r="E6" s="23" t="s">
        <v>44</v>
      </c>
      <c r="F6" s="21" t="s">
        <v>444</v>
      </c>
      <c r="G6" s="23">
        <v>2018</v>
      </c>
      <c r="H6" s="23">
        <v>2022</v>
      </c>
      <c r="I6" s="23"/>
      <c r="J6" s="23"/>
      <c r="K6" s="24">
        <v>372865</v>
      </c>
      <c r="L6" s="23"/>
    </row>
    <row r="7" spans="1:12" ht="45" x14ac:dyDescent="0.25">
      <c r="A7" s="19" t="s">
        <v>445</v>
      </c>
      <c r="B7" s="23" t="s">
        <v>443</v>
      </c>
      <c r="C7" s="23"/>
      <c r="D7" s="23" t="s">
        <v>438</v>
      </c>
      <c r="E7" s="23" t="s">
        <v>44</v>
      </c>
      <c r="F7" s="19" t="s">
        <v>439</v>
      </c>
      <c r="G7" s="23"/>
      <c r="H7" s="23"/>
      <c r="I7" s="23"/>
      <c r="J7" s="23"/>
      <c r="K7" s="24">
        <v>775468</v>
      </c>
      <c r="L7" s="23"/>
    </row>
    <row r="8" spans="1:12" ht="45" x14ac:dyDescent="0.25">
      <c r="A8" s="19" t="s">
        <v>446</v>
      </c>
      <c r="B8" s="23" t="s">
        <v>21</v>
      </c>
      <c r="C8" s="23"/>
      <c r="D8" s="23" t="s">
        <v>438</v>
      </c>
      <c r="E8" s="23" t="s">
        <v>44</v>
      </c>
      <c r="F8" s="19"/>
      <c r="G8" s="23">
        <v>2016</v>
      </c>
      <c r="H8" s="23">
        <v>2020</v>
      </c>
      <c r="I8" s="23"/>
      <c r="J8" s="23"/>
      <c r="K8" s="24">
        <v>501183</v>
      </c>
      <c r="L8" s="23"/>
    </row>
    <row r="9" spans="1:12" ht="45" x14ac:dyDescent="0.25">
      <c r="A9" s="19" t="s">
        <v>447</v>
      </c>
      <c r="B9" s="23" t="s">
        <v>448</v>
      </c>
      <c r="C9" s="23"/>
      <c r="D9" s="23" t="s">
        <v>438</v>
      </c>
      <c r="E9" s="23" t="s">
        <v>44</v>
      </c>
      <c r="F9" s="19" t="s">
        <v>449</v>
      </c>
      <c r="G9" s="23">
        <v>2014</v>
      </c>
      <c r="H9" s="23">
        <v>2017</v>
      </c>
      <c r="I9" s="23"/>
      <c r="J9" s="23"/>
      <c r="K9" s="24">
        <v>623528</v>
      </c>
      <c r="L9" s="23"/>
    </row>
    <row r="10" spans="1:12" ht="75" x14ac:dyDescent="0.25">
      <c r="A10" s="19" t="s">
        <v>450</v>
      </c>
      <c r="B10" s="23" t="s">
        <v>21</v>
      </c>
      <c r="C10" s="23"/>
      <c r="D10" s="23" t="s">
        <v>438</v>
      </c>
      <c r="E10" s="23" t="s">
        <v>44</v>
      </c>
      <c r="F10" s="19" t="s">
        <v>451</v>
      </c>
      <c r="G10" s="23">
        <v>2014</v>
      </c>
      <c r="H10" s="23">
        <v>2018</v>
      </c>
      <c r="I10" s="23"/>
      <c r="J10" s="23"/>
      <c r="K10" s="24">
        <v>456654</v>
      </c>
      <c r="L10" s="23"/>
    </row>
    <row r="11" spans="1:12" ht="30" x14ac:dyDescent="0.25">
      <c r="A11" s="19" t="s">
        <v>452</v>
      </c>
      <c r="B11" s="23" t="s">
        <v>448</v>
      </c>
      <c r="C11" s="23"/>
      <c r="D11" s="23" t="s">
        <v>438</v>
      </c>
      <c r="E11" s="23" t="s">
        <v>44</v>
      </c>
      <c r="F11" s="19" t="s">
        <v>453</v>
      </c>
      <c r="G11" s="23">
        <v>2017</v>
      </c>
      <c r="H11" s="23">
        <v>2020</v>
      </c>
      <c r="I11" s="23"/>
      <c r="J11" s="23"/>
      <c r="K11" s="24">
        <v>505539</v>
      </c>
      <c r="L11" s="23"/>
    </row>
    <row r="12" spans="1:12" ht="45" x14ac:dyDescent="0.25">
      <c r="A12" s="19" t="s">
        <v>454</v>
      </c>
      <c r="B12" s="23" t="s">
        <v>455</v>
      </c>
      <c r="C12" s="23"/>
      <c r="D12" s="23" t="s">
        <v>438</v>
      </c>
      <c r="E12" s="23" t="s">
        <v>44</v>
      </c>
      <c r="F12" s="19" t="s">
        <v>456</v>
      </c>
      <c r="G12" s="23"/>
      <c r="H12" s="23"/>
      <c r="I12" s="23"/>
      <c r="J12" s="23"/>
      <c r="K12" s="24">
        <v>743969</v>
      </c>
      <c r="L12" s="23"/>
    </row>
    <row r="13" spans="1:12" ht="45" x14ac:dyDescent="0.25">
      <c r="A13" s="19" t="s">
        <v>457</v>
      </c>
      <c r="B13" s="23" t="s">
        <v>448</v>
      </c>
      <c r="C13" s="23"/>
      <c r="D13" s="23" t="s">
        <v>438</v>
      </c>
      <c r="E13" s="23" t="s">
        <v>44</v>
      </c>
      <c r="F13" s="19" t="s">
        <v>458</v>
      </c>
      <c r="G13" s="23">
        <v>2019</v>
      </c>
      <c r="H13" s="23">
        <v>2021</v>
      </c>
      <c r="I13" s="23"/>
      <c r="J13" s="23"/>
      <c r="K13" s="24">
        <v>199870</v>
      </c>
      <c r="L13" s="23"/>
    </row>
    <row r="14" spans="1:12" ht="45" x14ac:dyDescent="0.25">
      <c r="A14" s="19" t="s">
        <v>459</v>
      </c>
      <c r="B14" s="23" t="s">
        <v>448</v>
      </c>
      <c r="C14" s="23"/>
      <c r="D14" s="23" t="s">
        <v>438</v>
      </c>
      <c r="E14" s="23" t="s">
        <v>44</v>
      </c>
      <c r="F14" s="19" t="s">
        <v>460</v>
      </c>
      <c r="G14" s="23">
        <v>2018</v>
      </c>
      <c r="H14" s="23">
        <v>2022</v>
      </c>
      <c r="I14" s="23"/>
      <c r="J14" s="23"/>
      <c r="K14" s="24">
        <v>480238</v>
      </c>
      <c r="L14" s="23"/>
    </row>
    <row r="15" spans="1:12" ht="30" x14ac:dyDescent="0.25">
      <c r="A15" s="19" t="s">
        <v>461</v>
      </c>
      <c r="B15" s="23" t="s">
        <v>448</v>
      </c>
      <c r="C15" s="23"/>
      <c r="D15" s="23" t="s">
        <v>438</v>
      </c>
      <c r="E15" s="23" t="s">
        <v>44</v>
      </c>
      <c r="F15" s="19" t="s">
        <v>462</v>
      </c>
      <c r="G15" s="23">
        <v>2015</v>
      </c>
      <c r="H15" s="23">
        <v>2019</v>
      </c>
      <c r="I15" s="23"/>
      <c r="J15" s="23"/>
      <c r="K15" s="24">
        <v>512850</v>
      </c>
      <c r="L15" s="23"/>
    </row>
    <row r="16" spans="1:12" ht="30" x14ac:dyDescent="0.25">
      <c r="A16" s="19" t="s">
        <v>463</v>
      </c>
      <c r="B16" s="23" t="s">
        <v>52</v>
      </c>
      <c r="C16" s="23"/>
      <c r="D16" s="23" t="s">
        <v>438</v>
      </c>
      <c r="E16" s="23" t="s">
        <v>44</v>
      </c>
      <c r="F16" s="19" t="s">
        <v>464</v>
      </c>
      <c r="G16" s="23">
        <v>2015</v>
      </c>
      <c r="H16" s="23">
        <v>2018</v>
      </c>
      <c r="I16" s="23"/>
      <c r="J16" s="23"/>
      <c r="K16" s="24">
        <v>446160</v>
      </c>
      <c r="L16" s="23"/>
    </row>
    <row r="17" spans="1:12" ht="45" x14ac:dyDescent="0.25">
      <c r="A17" s="19" t="s">
        <v>447</v>
      </c>
      <c r="B17" s="23" t="s">
        <v>465</v>
      </c>
      <c r="C17" s="23"/>
      <c r="D17" s="23" t="s">
        <v>438</v>
      </c>
      <c r="E17" s="23" t="s">
        <v>44</v>
      </c>
      <c r="F17" s="19" t="s">
        <v>466</v>
      </c>
      <c r="G17" s="23">
        <v>2014</v>
      </c>
      <c r="H17" s="23">
        <v>2017</v>
      </c>
      <c r="I17" s="23"/>
      <c r="J17" s="23"/>
      <c r="K17" s="24">
        <v>623528</v>
      </c>
      <c r="L17" s="23"/>
    </row>
    <row r="18" spans="1:12" ht="75" x14ac:dyDescent="0.25">
      <c r="A18" s="19" t="s">
        <v>450</v>
      </c>
      <c r="B18" s="23" t="s">
        <v>21</v>
      </c>
      <c r="C18" s="23"/>
      <c r="D18" s="23" t="s">
        <v>438</v>
      </c>
      <c r="E18" s="23" t="s">
        <v>44</v>
      </c>
      <c r="F18" s="19" t="s">
        <v>451</v>
      </c>
      <c r="G18" s="23">
        <v>2014</v>
      </c>
      <c r="H18" s="23">
        <v>2018</v>
      </c>
      <c r="I18" s="23"/>
      <c r="J18" s="23"/>
      <c r="K18" s="24">
        <v>456654</v>
      </c>
      <c r="L18" s="23"/>
    </row>
    <row r="19" spans="1:12" ht="45" x14ac:dyDescent="0.25">
      <c r="A19" s="19" t="s">
        <v>467</v>
      </c>
      <c r="B19" s="23" t="s">
        <v>448</v>
      </c>
      <c r="C19" s="23"/>
      <c r="D19" s="23" t="s">
        <v>438</v>
      </c>
      <c r="E19" s="23" t="s">
        <v>44</v>
      </c>
      <c r="F19" s="19" t="s">
        <v>468</v>
      </c>
      <c r="G19" s="23"/>
      <c r="H19" s="23"/>
      <c r="I19" s="23"/>
      <c r="J19" s="23"/>
      <c r="K19" s="24">
        <v>730000</v>
      </c>
      <c r="L19" s="23"/>
    </row>
    <row r="20" spans="1:12" ht="45" x14ac:dyDescent="0.25">
      <c r="A20" s="19" t="s">
        <v>469</v>
      </c>
      <c r="B20" s="23" t="s">
        <v>145</v>
      </c>
      <c r="C20" s="23"/>
      <c r="D20" s="23" t="s">
        <v>438</v>
      </c>
      <c r="E20" s="23" t="s">
        <v>44</v>
      </c>
      <c r="F20" s="19" t="s">
        <v>470</v>
      </c>
      <c r="G20" s="23">
        <v>2017</v>
      </c>
      <c r="H20" s="23">
        <v>2021</v>
      </c>
      <c r="I20" s="23"/>
      <c r="J20" s="23"/>
      <c r="K20" s="24">
        <v>248383</v>
      </c>
      <c r="L20" s="23"/>
    </row>
    <row r="21" spans="1:12" ht="45" x14ac:dyDescent="0.25">
      <c r="A21" s="19" t="s">
        <v>471</v>
      </c>
      <c r="B21" s="23" t="s">
        <v>448</v>
      </c>
      <c r="C21" s="23"/>
      <c r="D21" s="23" t="s">
        <v>438</v>
      </c>
      <c r="E21" s="23" t="s">
        <v>44</v>
      </c>
      <c r="F21" s="19" t="s">
        <v>472</v>
      </c>
      <c r="G21" s="23">
        <v>2018</v>
      </c>
      <c r="H21" s="23">
        <v>2022</v>
      </c>
      <c r="I21" s="23"/>
      <c r="J21" s="23"/>
      <c r="K21" s="24">
        <v>559910</v>
      </c>
      <c r="L21" s="23"/>
    </row>
    <row r="22" spans="1:12" ht="30" x14ac:dyDescent="0.25">
      <c r="A22" s="19" t="s">
        <v>473</v>
      </c>
      <c r="B22" s="23" t="s">
        <v>448</v>
      </c>
      <c r="C22" s="23"/>
      <c r="D22" s="23" t="s">
        <v>438</v>
      </c>
      <c r="E22" s="23" t="s">
        <v>44</v>
      </c>
      <c r="F22" s="19" t="s">
        <v>474</v>
      </c>
      <c r="G22" s="23"/>
      <c r="H22" s="23"/>
      <c r="I22" s="23"/>
      <c r="J22" s="23"/>
      <c r="K22" s="24">
        <v>240135</v>
      </c>
      <c r="L22" s="23"/>
    </row>
    <row r="23" spans="1:12" x14ac:dyDescent="0.25">
      <c r="A23" s="19" t="s">
        <v>475</v>
      </c>
      <c r="B23" s="23" t="s">
        <v>145</v>
      </c>
      <c r="C23" s="23"/>
      <c r="D23" s="23" t="s">
        <v>438</v>
      </c>
      <c r="E23" s="23" t="s">
        <v>44</v>
      </c>
      <c r="F23" s="19" t="s">
        <v>476</v>
      </c>
      <c r="G23" s="23">
        <v>2013</v>
      </c>
      <c r="H23" s="23">
        <v>2017</v>
      </c>
      <c r="I23" s="23"/>
      <c r="J23" s="23"/>
      <c r="K23" s="24">
        <v>747805</v>
      </c>
      <c r="L23" s="23"/>
    </row>
    <row r="24" spans="1:12" ht="60" x14ac:dyDescent="0.25">
      <c r="A24" s="19" t="s">
        <v>477</v>
      </c>
      <c r="B24" s="23" t="s">
        <v>47</v>
      </c>
      <c r="C24" s="23"/>
      <c r="D24" s="23" t="s">
        <v>438</v>
      </c>
      <c r="E24" s="23" t="s">
        <v>44</v>
      </c>
      <c r="F24" s="19" t="s">
        <v>478</v>
      </c>
      <c r="G24" s="23">
        <v>2014</v>
      </c>
      <c r="H24" s="23">
        <v>2018</v>
      </c>
      <c r="I24" s="23"/>
      <c r="J24" s="23"/>
      <c r="K24" s="24">
        <v>767943</v>
      </c>
      <c r="L24" s="23"/>
    </row>
    <row r="25" spans="1:12" ht="75" x14ac:dyDescent="0.25">
      <c r="A25" s="19" t="s">
        <v>479</v>
      </c>
      <c r="B25" s="23" t="s">
        <v>159</v>
      </c>
      <c r="C25" s="23"/>
      <c r="D25" s="23" t="s">
        <v>438</v>
      </c>
      <c r="E25" s="23" t="s">
        <v>44</v>
      </c>
      <c r="F25" s="19" t="s">
        <v>480</v>
      </c>
      <c r="G25" s="23">
        <v>2013</v>
      </c>
      <c r="H25" s="23">
        <v>2017</v>
      </c>
      <c r="I25" s="23"/>
      <c r="J25" s="23"/>
      <c r="K25" s="24">
        <v>569441</v>
      </c>
      <c r="L25" s="23"/>
    </row>
    <row r="26" spans="1:12" ht="60" x14ac:dyDescent="0.25">
      <c r="A26" s="19" t="s">
        <v>481</v>
      </c>
      <c r="B26" s="23" t="s">
        <v>448</v>
      </c>
      <c r="C26" s="23"/>
      <c r="D26" s="23" t="s">
        <v>438</v>
      </c>
      <c r="E26" s="23" t="s">
        <v>44</v>
      </c>
      <c r="F26" s="19" t="s">
        <v>482</v>
      </c>
      <c r="G26" s="23">
        <v>2017</v>
      </c>
      <c r="H26" s="23">
        <v>2021</v>
      </c>
      <c r="I26" s="23"/>
      <c r="J26" s="23"/>
      <c r="K26" s="24">
        <v>450091</v>
      </c>
      <c r="L26" s="23"/>
    </row>
    <row r="27" spans="1:12" x14ac:dyDescent="0.25">
      <c r="J27" s="28">
        <f>SUM(K4:K26)+J3</f>
        <v>201879513</v>
      </c>
      <c r="K27" s="107">
        <f>SUM(K3:K26)</f>
        <v>45079513</v>
      </c>
      <c r="L27" s="28">
        <f>J27-K27</f>
        <v>156800000</v>
      </c>
    </row>
    <row r="28" spans="1:12" x14ac:dyDescent="0.25">
      <c r="C28" t="s">
        <v>161</v>
      </c>
      <c r="D28">
        <f>COUNTA(A3:A26)</f>
        <v>24</v>
      </c>
      <c r="J28" t="s">
        <v>483</v>
      </c>
      <c r="K28" s="11" t="s">
        <v>247</v>
      </c>
      <c r="L28" t="s">
        <v>484</v>
      </c>
    </row>
    <row r="29" spans="1:12" x14ac:dyDescent="0.25">
      <c r="K29" s="11"/>
    </row>
    <row r="30" spans="1:12" x14ac:dyDescent="0.25">
      <c r="K30" s="11"/>
      <c r="L30" s="28"/>
    </row>
    <row r="31" spans="1:12" x14ac:dyDescent="0.25">
      <c r="K31" s="11"/>
    </row>
    <row r="32" spans="1:12" x14ac:dyDescent="0.25">
      <c r="K32" s="11"/>
    </row>
    <row r="33" spans="11:11" x14ac:dyDescent="0.25">
      <c r="K33" s="11"/>
    </row>
    <row r="34" spans="11:11" x14ac:dyDescent="0.25">
      <c r="K34" s="11"/>
    </row>
    <row r="35" spans="11:11" x14ac:dyDescent="0.25">
      <c r="K35" s="11"/>
    </row>
    <row r="36" spans="11:11" x14ac:dyDescent="0.25">
      <c r="K36" s="11"/>
    </row>
    <row r="37" spans="11:11" x14ac:dyDescent="0.25">
      <c r="K37" s="11"/>
    </row>
    <row r="38" spans="11:11" x14ac:dyDescent="0.25">
      <c r="K38" s="11"/>
    </row>
    <row r="39" spans="11:11" x14ac:dyDescent="0.25">
      <c r="K39" s="11"/>
    </row>
    <row r="40" spans="11:11" x14ac:dyDescent="0.25">
      <c r="K40" s="11"/>
    </row>
    <row r="41" spans="11:11" x14ac:dyDescent="0.25">
      <c r="K41" s="11"/>
    </row>
    <row r="42" spans="11:11" x14ac:dyDescent="0.25">
      <c r="K42" s="11"/>
    </row>
    <row r="43" spans="11:11" x14ac:dyDescent="0.25">
      <c r="K43" s="11"/>
    </row>
    <row r="44" spans="11:11" x14ac:dyDescent="0.25">
      <c r="K44" s="11"/>
    </row>
    <row r="45" spans="11:11" x14ac:dyDescent="0.25">
      <c r="K45" s="11"/>
    </row>
    <row r="46" spans="11:11" x14ac:dyDescent="0.25">
      <c r="K46" s="11"/>
    </row>
    <row r="47" spans="11:11" x14ac:dyDescent="0.25">
      <c r="K47" s="11"/>
    </row>
    <row r="48" spans="11:11" x14ac:dyDescent="0.25">
      <c r="K48" s="11"/>
    </row>
    <row r="49" spans="11:11" x14ac:dyDescent="0.25">
      <c r="K49" s="11"/>
    </row>
    <row r="50" spans="11:11" x14ac:dyDescent="0.25">
      <c r="K50" s="11"/>
    </row>
    <row r="51" spans="11:11" x14ac:dyDescent="0.25">
      <c r="K51" s="11"/>
    </row>
    <row r="52" spans="11:11" x14ac:dyDescent="0.25">
      <c r="K52" s="11"/>
    </row>
    <row r="53" spans="11:11" x14ac:dyDescent="0.25">
      <c r="K53" s="11"/>
    </row>
    <row r="54" spans="11:11" x14ac:dyDescent="0.25">
      <c r="K54" s="11"/>
    </row>
    <row r="55" spans="11:11" x14ac:dyDescent="0.25">
      <c r="K55" s="11"/>
    </row>
    <row r="56" spans="11:11" x14ac:dyDescent="0.25">
      <c r="K56" s="11"/>
    </row>
    <row r="57" spans="11:11" x14ac:dyDescent="0.25">
      <c r="K57" s="11"/>
    </row>
    <row r="58" spans="11:11" x14ac:dyDescent="0.25">
      <c r="K58" s="11"/>
    </row>
    <row r="59" spans="11:11" x14ac:dyDescent="0.25">
      <c r="K59" s="11"/>
    </row>
    <row r="60" spans="11:11" x14ac:dyDescent="0.25">
      <c r="K60" s="11"/>
    </row>
    <row r="61" spans="11:11" x14ac:dyDescent="0.25">
      <c r="K61" s="11"/>
    </row>
    <row r="62" spans="11:11" x14ac:dyDescent="0.25">
      <c r="K62" s="11"/>
    </row>
    <row r="63" spans="11:11" x14ac:dyDescent="0.25">
      <c r="K63" s="11"/>
    </row>
    <row r="64" spans="11:11" x14ac:dyDescent="0.25">
      <c r="K64" s="11"/>
    </row>
    <row r="65" spans="11:11" x14ac:dyDescent="0.25">
      <c r="K65" s="11"/>
    </row>
    <row r="66" spans="11:11" x14ac:dyDescent="0.25">
      <c r="K66" s="11"/>
    </row>
    <row r="67" spans="11:11" x14ac:dyDescent="0.25">
      <c r="K67" s="11"/>
    </row>
    <row r="68" spans="11:11" x14ac:dyDescent="0.25">
      <c r="K68" s="11"/>
    </row>
    <row r="69" spans="11:11" x14ac:dyDescent="0.25">
      <c r="K69" s="11"/>
    </row>
    <row r="70" spans="11:11" x14ac:dyDescent="0.25">
      <c r="K70" s="11"/>
    </row>
    <row r="71" spans="11:11" x14ac:dyDescent="0.25">
      <c r="K71" s="11"/>
    </row>
    <row r="72" spans="11:11" x14ac:dyDescent="0.25">
      <c r="K72" s="11"/>
    </row>
    <row r="73" spans="11:11" x14ac:dyDescent="0.25">
      <c r="K73" s="11"/>
    </row>
    <row r="74" spans="11:11" x14ac:dyDescent="0.25">
      <c r="K74" s="11"/>
    </row>
    <row r="75" spans="11:11" x14ac:dyDescent="0.25">
      <c r="K75" s="11"/>
    </row>
    <row r="76" spans="11:11" x14ac:dyDescent="0.25">
      <c r="K76" s="11"/>
    </row>
    <row r="77" spans="11:11" x14ac:dyDescent="0.25">
      <c r="K77" s="11"/>
    </row>
    <row r="78" spans="11:11" x14ac:dyDescent="0.25">
      <c r="K78" s="11"/>
    </row>
    <row r="79" spans="11:11" x14ac:dyDescent="0.25">
      <c r="K79" s="11"/>
    </row>
    <row r="80" spans="11:11" x14ac:dyDescent="0.25">
      <c r="K80" s="11"/>
    </row>
    <row r="81" spans="11:11" x14ac:dyDescent="0.25">
      <c r="K81" s="11"/>
    </row>
    <row r="82" spans="11:11" x14ac:dyDescent="0.25">
      <c r="K82" s="11"/>
    </row>
    <row r="83" spans="11:11" x14ac:dyDescent="0.25">
      <c r="K83" s="11"/>
    </row>
    <row r="84" spans="11:11" x14ac:dyDescent="0.25">
      <c r="K84" s="11"/>
    </row>
    <row r="85" spans="11:11" x14ac:dyDescent="0.25">
      <c r="K85" s="11"/>
    </row>
    <row r="86" spans="11:11" x14ac:dyDescent="0.25">
      <c r="K86" s="11"/>
    </row>
    <row r="87" spans="11:11" x14ac:dyDescent="0.25">
      <c r="K87" s="11"/>
    </row>
    <row r="88" spans="11:11" x14ac:dyDescent="0.25">
      <c r="K88" s="11"/>
    </row>
    <row r="89" spans="11:11" x14ac:dyDescent="0.25">
      <c r="K89" s="11"/>
    </row>
    <row r="90" spans="11:11" x14ac:dyDescent="0.25">
      <c r="K90" s="11"/>
    </row>
    <row r="91" spans="11:11" x14ac:dyDescent="0.25">
      <c r="K91" s="11"/>
    </row>
    <row r="92" spans="11:11" x14ac:dyDescent="0.25">
      <c r="K92" s="11"/>
    </row>
    <row r="93" spans="11:11" x14ac:dyDescent="0.25">
      <c r="K93" s="11"/>
    </row>
    <row r="94" spans="11:11" x14ac:dyDescent="0.25">
      <c r="K94" s="11"/>
    </row>
    <row r="95" spans="11:11" x14ac:dyDescent="0.25">
      <c r="K95" s="11"/>
    </row>
    <row r="96" spans="11:11" x14ac:dyDescent="0.25">
      <c r="K96" s="11"/>
    </row>
    <row r="97" spans="11:11" x14ac:dyDescent="0.25">
      <c r="K97" s="11"/>
    </row>
    <row r="98" spans="11:11" x14ac:dyDescent="0.25">
      <c r="K98" s="11"/>
    </row>
    <row r="99" spans="11:11" x14ac:dyDescent="0.25">
      <c r="K99" s="11"/>
    </row>
    <row r="100" spans="11:11" x14ac:dyDescent="0.25">
      <c r="K100" s="11"/>
    </row>
    <row r="101" spans="11:11" x14ac:dyDescent="0.25">
      <c r="K101" s="11"/>
    </row>
    <row r="102" spans="11:11" x14ac:dyDescent="0.25">
      <c r="K102" s="11"/>
    </row>
    <row r="103" spans="11:11" x14ac:dyDescent="0.25">
      <c r="K103" s="11"/>
    </row>
    <row r="104" spans="11:11" x14ac:dyDescent="0.25">
      <c r="K104" s="11"/>
    </row>
    <row r="105" spans="11:11" x14ac:dyDescent="0.25">
      <c r="K105" s="11"/>
    </row>
    <row r="106" spans="11:11" x14ac:dyDescent="0.25">
      <c r="K106" s="11"/>
    </row>
    <row r="107" spans="11:11" x14ac:dyDescent="0.25">
      <c r="K107" s="11"/>
    </row>
    <row r="108" spans="11:11" x14ac:dyDescent="0.25">
      <c r="K108" s="11"/>
    </row>
    <row r="109" spans="11:11" x14ac:dyDescent="0.25">
      <c r="K109" s="11"/>
    </row>
    <row r="110" spans="11:11" x14ac:dyDescent="0.25">
      <c r="K110" s="11"/>
    </row>
    <row r="111" spans="11:11" x14ac:dyDescent="0.25">
      <c r="K111" s="11"/>
    </row>
    <row r="112" spans="11:11" x14ac:dyDescent="0.25">
      <c r="K112" s="11"/>
    </row>
    <row r="113" spans="11:11" x14ac:dyDescent="0.25">
      <c r="K113" s="11"/>
    </row>
    <row r="114" spans="11:11" x14ac:dyDescent="0.25">
      <c r="K114" s="11"/>
    </row>
    <row r="115" spans="11:11" x14ac:dyDescent="0.25">
      <c r="K115" s="11"/>
    </row>
    <row r="116" spans="11:11" x14ac:dyDescent="0.25">
      <c r="K116" s="11"/>
    </row>
    <row r="117" spans="11:11" x14ac:dyDescent="0.25">
      <c r="K117" s="11"/>
    </row>
    <row r="118" spans="11:11" x14ac:dyDescent="0.25">
      <c r="K118" s="11"/>
    </row>
  </sheetData>
  <phoneticPr fontId="5" type="noConversion"/>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1800-87A6-4502-BF30-76F68991D5DF}">
  <sheetPr>
    <pageSetUpPr fitToPage="1"/>
  </sheetPr>
  <dimension ref="A1:M48"/>
  <sheetViews>
    <sheetView zoomScale="90" zoomScaleNormal="90" workbookViewId="0"/>
  </sheetViews>
  <sheetFormatPr defaultRowHeight="15" x14ac:dyDescent="0.25"/>
  <cols>
    <col min="1" max="1" width="32.28515625" customWidth="1"/>
    <col min="2" max="2" width="0" hidden="1" customWidth="1"/>
    <col min="3" max="3" width="18.5703125" customWidth="1"/>
    <col min="4" max="4" width="24.140625" customWidth="1"/>
    <col min="5" max="5" width="20.28515625" customWidth="1"/>
    <col min="6" max="6" width="64" customWidth="1"/>
    <col min="7" max="7" width="10.85546875" bestFit="1" customWidth="1"/>
    <col min="8" max="8" width="9.85546875" bestFit="1" customWidth="1"/>
    <col min="9" max="9" width="9.28515625" bestFit="1" customWidth="1"/>
    <col min="10" max="10" width="17.28515625" customWidth="1"/>
    <col min="11" max="11" width="18.5703125" bestFit="1" customWidth="1"/>
    <col min="12" max="12" width="25.28515625" customWidth="1"/>
    <col min="13" max="13" width="12.7109375" bestFit="1" customWidth="1"/>
  </cols>
  <sheetData>
    <row r="1" spans="1:13" s="12" customFormat="1" ht="31.5" x14ac:dyDescent="0.5">
      <c r="A1" s="34" t="s">
        <v>66</v>
      </c>
      <c r="C1" s="119"/>
    </row>
    <row r="2" spans="1:13" s="1" customFormat="1" ht="31.5" x14ac:dyDescent="0.25">
      <c r="A2" s="8" t="s">
        <v>1</v>
      </c>
      <c r="B2" s="8" t="s">
        <v>2</v>
      </c>
      <c r="C2" s="120" t="s">
        <v>3</v>
      </c>
      <c r="D2" s="8" t="s">
        <v>4</v>
      </c>
      <c r="E2" s="9" t="s">
        <v>162</v>
      </c>
      <c r="F2" s="8" t="s">
        <v>163</v>
      </c>
      <c r="G2" s="8" t="s">
        <v>6</v>
      </c>
      <c r="H2" s="9" t="s">
        <v>7</v>
      </c>
      <c r="I2" s="9" t="s">
        <v>8</v>
      </c>
      <c r="J2" s="8" t="s">
        <v>9</v>
      </c>
      <c r="K2" s="121" t="s">
        <v>164</v>
      </c>
      <c r="L2" s="9" t="s">
        <v>11</v>
      </c>
    </row>
    <row r="3" spans="1:13" ht="45" x14ac:dyDescent="0.25">
      <c r="A3" s="23" t="s">
        <v>485</v>
      </c>
      <c r="B3" s="23" t="s">
        <v>373</v>
      </c>
      <c r="C3" s="117" t="s">
        <v>486</v>
      </c>
      <c r="D3" s="19" t="s">
        <v>487</v>
      </c>
      <c r="E3" s="23" t="s">
        <v>66</v>
      </c>
      <c r="F3" s="19" t="s">
        <v>488</v>
      </c>
      <c r="G3" s="18">
        <v>2016</v>
      </c>
      <c r="H3" s="18">
        <v>2019</v>
      </c>
      <c r="I3" s="64" t="s">
        <v>489</v>
      </c>
      <c r="J3" s="174"/>
      <c r="K3" s="179">
        <v>30000000</v>
      </c>
      <c r="L3" s="170" t="s">
        <v>490</v>
      </c>
      <c r="M3" s="23" t="s">
        <v>491</v>
      </c>
    </row>
    <row r="4" spans="1:13" ht="45" x14ac:dyDescent="0.25">
      <c r="A4" s="23" t="s">
        <v>492</v>
      </c>
      <c r="B4" s="22" t="s">
        <v>435</v>
      </c>
      <c r="C4" s="117" t="s">
        <v>493</v>
      </c>
      <c r="D4" s="19" t="s">
        <v>487</v>
      </c>
      <c r="E4" s="23" t="s">
        <v>66</v>
      </c>
      <c r="F4" s="19" t="s">
        <v>494</v>
      </c>
      <c r="G4" s="18">
        <v>2019</v>
      </c>
      <c r="H4" s="18">
        <v>2022</v>
      </c>
      <c r="I4" s="18" t="s">
        <v>150</v>
      </c>
      <c r="J4" s="182">
        <v>24000000</v>
      </c>
      <c r="K4" s="182">
        <v>24000000</v>
      </c>
      <c r="L4" s="163" t="s">
        <v>495</v>
      </c>
      <c r="M4" s="23"/>
    </row>
    <row r="5" spans="1:13" ht="45" x14ac:dyDescent="0.25">
      <c r="A5" s="23" t="s">
        <v>496</v>
      </c>
      <c r="B5" s="23" t="s">
        <v>145</v>
      </c>
      <c r="C5" s="117">
        <v>4</v>
      </c>
      <c r="D5" s="19" t="s">
        <v>497</v>
      </c>
      <c r="E5" s="23" t="s">
        <v>66</v>
      </c>
      <c r="F5" s="23" t="s">
        <v>498</v>
      </c>
      <c r="G5" s="18">
        <v>2019</v>
      </c>
      <c r="H5" s="18">
        <v>2023</v>
      </c>
      <c r="I5" s="18" t="s">
        <v>499</v>
      </c>
      <c r="J5" s="182">
        <v>2800000</v>
      </c>
      <c r="K5" s="182">
        <v>2800000</v>
      </c>
      <c r="L5" s="163" t="s">
        <v>500</v>
      </c>
      <c r="M5" s="23"/>
    </row>
    <row r="6" spans="1:13" ht="45" x14ac:dyDescent="0.25">
      <c r="A6" s="23" t="s">
        <v>501</v>
      </c>
      <c r="B6" s="23" t="s">
        <v>145</v>
      </c>
      <c r="C6" s="117">
        <v>5</v>
      </c>
      <c r="D6" s="19" t="s">
        <v>502</v>
      </c>
      <c r="E6" s="23" t="s">
        <v>66</v>
      </c>
      <c r="F6" s="23" t="s">
        <v>503</v>
      </c>
      <c r="G6" s="18">
        <v>2018</v>
      </c>
      <c r="H6" s="18">
        <v>2021</v>
      </c>
      <c r="I6" s="18" t="s">
        <v>191</v>
      </c>
      <c r="J6" s="179">
        <v>10660000</v>
      </c>
      <c r="K6" s="179">
        <v>10660000</v>
      </c>
      <c r="L6" s="163" t="s">
        <v>495</v>
      </c>
      <c r="M6" s="23"/>
    </row>
    <row r="7" spans="1:13" ht="45" x14ac:dyDescent="0.25">
      <c r="A7" s="23" t="s">
        <v>504</v>
      </c>
      <c r="B7" s="23" t="s">
        <v>435</v>
      </c>
      <c r="C7" s="117">
        <v>2</v>
      </c>
      <c r="D7" s="19" t="s">
        <v>505</v>
      </c>
      <c r="E7" s="19" t="s">
        <v>506</v>
      </c>
      <c r="F7" s="23" t="s">
        <v>507</v>
      </c>
      <c r="G7" s="18">
        <v>2019</v>
      </c>
      <c r="H7" s="18">
        <v>2020</v>
      </c>
      <c r="I7" s="18" t="s">
        <v>99</v>
      </c>
      <c r="J7" s="179">
        <v>19140000</v>
      </c>
      <c r="K7" s="203" t="s">
        <v>508</v>
      </c>
      <c r="L7" s="122" t="s">
        <v>509</v>
      </c>
      <c r="M7" s="23"/>
    </row>
    <row r="8" spans="1:13" ht="45" x14ac:dyDescent="0.25">
      <c r="A8" s="23" t="s">
        <v>510</v>
      </c>
      <c r="B8" s="23" t="s">
        <v>511</v>
      </c>
      <c r="C8" s="117">
        <v>8</v>
      </c>
      <c r="D8" s="19" t="s">
        <v>497</v>
      </c>
      <c r="E8" s="23" t="s">
        <v>66</v>
      </c>
      <c r="F8" s="19" t="s">
        <v>503</v>
      </c>
      <c r="G8" s="18">
        <v>2017</v>
      </c>
      <c r="H8" s="18">
        <v>2019</v>
      </c>
      <c r="I8" s="18" t="s">
        <v>512</v>
      </c>
      <c r="J8" s="179">
        <v>1200000</v>
      </c>
      <c r="K8" s="179">
        <v>1200000</v>
      </c>
      <c r="L8" s="163" t="s">
        <v>495</v>
      </c>
      <c r="M8" s="23"/>
    </row>
    <row r="9" spans="1:13" ht="60" x14ac:dyDescent="0.25">
      <c r="A9" s="23" t="s">
        <v>513</v>
      </c>
      <c r="B9" s="23" t="s">
        <v>511</v>
      </c>
      <c r="C9" s="117" t="s">
        <v>514</v>
      </c>
      <c r="D9" s="19" t="s">
        <v>515</v>
      </c>
      <c r="E9" s="23" t="s">
        <v>66</v>
      </c>
      <c r="F9" s="19" t="s">
        <v>516</v>
      </c>
      <c r="G9" s="18">
        <v>2018</v>
      </c>
      <c r="H9" s="18">
        <v>2021</v>
      </c>
      <c r="I9" s="18" t="s">
        <v>191</v>
      </c>
      <c r="J9" s="179"/>
      <c r="K9" s="179">
        <v>375000</v>
      </c>
      <c r="L9" s="163" t="s">
        <v>495</v>
      </c>
      <c r="M9" s="23"/>
    </row>
    <row r="10" spans="1:13" ht="45" x14ac:dyDescent="0.25">
      <c r="A10" s="23" t="s">
        <v>517</v>
      </c>
      <c r="B10" s="23" t="s">
        <v>145</v>
      </c>
      <c r="C10" s="117" t="s">
        <v>518</v>
      </c>
      <c r="D10" s="19" t="s">
        <v>519</v>
      </c>
      <c r="E10" s="23" t="s">
        <v>66</v>
      </c>
      <c r="F10" s="19" t="s">
        <v>520</v>
      </c>
      <c r="G10" s="18">
        <v>2017</v>
      </c>
      <c r="H10" s="18">
        <v>2020</v>
      </c>
      <c r="I10" s="18" t="s">
        <v>521</v>
      </c>
      <c r="J10" s="179">
        <v>1500000</v>
      </c>
      <c r="K10" s="179">
        <v>1500000</v>
      </c>
      <c r="L10" s="122" t="s">
        <v>522</v>
      </c>
      <c r="M10" s="23"/>
    </row>
    <row r="11" spans="1:13" ht="60" x14ac:dyDescent="0.25">
      <c r="A11" s="23" t="s">
        <v>144</v>
      </c>
      <c r="B11" s="23" t="s">
        <v>145</v>
      </c>
      <c r="C11" s="117">
        <v>2</v>
      </c>
      <c r="D11" s="23" t="s">
        <v>147</v>
      </c>
      <c r="E11" s="23" t="s">
        <v>66</v>
      </c>
      <c r="F11" s="23" t="s">
        <v>523</v>
      </c>
      <c r="G11" s="23">
        <v>2014</v>
      </c>
      <c r="H11" s="23">
        <v>2019</v>
      </c>
      <c r="I11" s="23" t="s">
        <v>146</v>
      </c>
      <c r="J11" s="173"/>
      <c r="K11" s="204">
        <v>22300000</v>
      </c>
      <c r="L11" s="122" t="s">
        <v>524</v>
      </c>
      <c r="M11" s="23" t="s">
        <v>525</v>
      </c>
    </row>
    <row r="12" spans="1:13" ht="45" x14ac:dyDescent="0.25">
      <c r="A12" s="19" t="s">
        <v>526</v>
      </c>
      <c r="B12" s="23" t="s">
        <v>373</v>
      </c>
      <c r="C12" s="117" t="s">
        <v>527</v>
      </c>
      <c r="D12" s="21" t="s">
        <v>528</v>
      </c>
      <c r="E12" s="23" t="s">
        <v>529</v>
      </c>
      <c r="F12" s="19" t="s">
        <v>530</v>
      </c>
      <c r="G12" s="18">
        <v>2019</v>
      </c>
      <c r="H12" s="41">
        <v>2022</v>
      </c>
      <c r="I12" s="18" t="s">
        <v>146</v>
      </c>
      <c r="J12" s="179">
        <v>68000000</v>
      </c>
      <c r="K12" s="179">
        <v>8230000</v>
      </c>
      <c r="L12" s="122" t="s">
        <v>531</v>
      </c>
      <c r="M12" s="22" t="s">
        <v>532</v>
      </c>
    </row>
    <row r="13" spans="1:13" ht="75" x14ac:dyDescent="0.25">
      <c r="A13" s="21" t="s">
        <v>533</v>
      </c>
      <c r="B13" s="23" t="s">
        <v>47</v>
      </c>
      <c r="C13" s="117" t="s">
        <v>534</v>
      </c>
      <c r="D13" s="19" t="s">
        <v>528</v>
      </c>
      <c r="E13" s="23" t="s">
        <v>66</v>
      </c>
      <c r="F13" s="19" t="s">
        <v>535</v>
      </c>
      <c r="G13" s="18">
        <v>2021</v>
      </c>
      <c r="H13" s="18">
        <v>2024</v>
      </c>
      <c r="I13" s="18" t="s">
        <v>191</v>
      </c>
      <c r="J13" s="179">
        <v>1500000</v>
      </c>
      <c r="K13" s="179">
        <v>1500000</v>
      </c>
      <c r="L13" s="122" t="s">
        <v>495</v>
      </c>
      <c r="M13" s="23"/>
    </row>
    <row r="14" spans="1:13" ht="60" x14ac:dyDescent="0.25">
      <c r="A14" s="21" t="s">
        <v>536</v>
      </c>
      <c r="B14" s="23" t="s">
        <v>47</v>
      </c>
      <c r="C14" s="117">
        <v>1</v>
      </c>
      <c r="D14" s="19" t="s">
        <v>528</v>
      </c>
      <c r="E14" s="23" t="s">
        <v>66</v>
      </c>
      <c r="F14" s="19" t="s">
        <v>537</v>
      </c>
      <c r="G14" s="18">
        <v>2020</v>
      </c>
      <c r="H14" s="18">
        <v>2022</v>
      </c>
      <c r="I14" s="18" t="s">
        <v>150</v>
      </c>
      <c r="J14" s="179">
        <v>1612000</v>
      </c>
      <c r="K14" s="179">
        <v>1612000</v>
      </c>
      <c r="L14" s="122" t="s">
        <v>495</v>
      </c>
      <c r="M14" s="23"/>
    </row>
    <row r="15" spans="1:13" ht="90" x14ac:dyDescent="0.25">
      <c r="A15" s="19" t="s">
        <v>538</v>
      </c>
      <c r="B15" s="23" t="s">
        <v>38</v>
      </c>
      <c r="C15" s="117" t="s">
        <v>518</v>
      </c>
      <c r="D15" s="19" t="s">
        <v>528</v>
      </c>
      <c r="E15" s="23" t="s">
        <v>66</v>
      </c>
      <c r="F15" s="19" t="s">
        <v>539</v>
      </c>
      <c r="G15" s="18">
        <v>2020</v>
      </c>
      <c r="H15" s="18">
        <v>2024</v>
      </c>
      <c r="I15" s="18" t="s">
        <v>540</v>
      </c>
      <c r="J15" s="179">
        <v>11100000</v>
      </c>
      <c r="K15" s="179">
        <v>8300000</v>
      </c>
      <c r="L15" s="122" t="s">
        <v>531</v>
      </c>
      <c r="M15" s="23" t="s">
        <v>541</v>
      </c>
    </row>
    <row r="16" spans="1:13" ht="45" x14ac:dyDescent="0.25">
      <c r="A16" s="19" t="s">
        <v>542</v>
      </c>
      <c r="B16" s="23" t="s">
        <v>435</v>
      </c>
      <c r="C16" s="117">
        <v>5</v>
      </c>
      <c r="D16" s="19" t="s">
        <v>543</v>
      </c>
      <c r="E16" s="23" t="s">
        <v>66</v>
      </c>
      <c r="F16" s="19" t="s">
        <v>544</v>
      </c>
      <c r="G16" s="18">
        <v>2020</v>
      </c>
      <c r="H16" s="18">
        <v>2024</v>
      </c>
      <c r="I16" s="18" t="s">
        <v>540</v>
      </c>
      <c r="J16" s="174"/>
      <c r="K16" s="179">
        <v>75000000</v>
      </c>
      <c r="L16" s="122" t="s">
        <v>545</v>
      </c>
      <c r="M16" s="23" t="s">
        <v>546</v>
      </c>
    </row>
    <row r="17" spans="1:13" ht="60" x14ac:dyDescent="0.25">
      <c r="A17" s="19" t="s">
        <v>547</v>
      </c>
      <c r="B17" s="19" t="s">
        <v>548</v>
      </c>
      <c r="C17" s="117">
        <v>4</v>
      </c>
      <c r="D17" s="19" t="s">
        <v>528</v>
      </c>
      <c r="E17" s="23" t="s">
        <v>66</v>
      </c>
      <c r="F17" s="19" t="s">
        <v>549</v>
      </c>
      <c r="G17" s="18">
        <v>2020</v>
      </c>
      <c r="H17" s="18">
        <v>2023</v>
      </c>
      <c r="I17" s="18" t="s">
        <v>168</v>
      </c>
      <c r="J17" s="179">
        <v>480000</v>
      </c>
      <c r="K17" s="179">
        <v>480000</v>
      </c>
      <c r="L17" s="122" t="s">
        <v>495</v>
      </c>
      <c r="M17" s="23"/>
    </row>
    <row r="18" spans="1:13" ht="150" x14ac:dyDescent="0.25">
      <c r="A18" s="19" t="s">
        <v>550</v>
      </c>
      <c r="B18" s="23" t="s">
        <v>551</v>
      </c>
      <c r="C18" s="117" t="s">
        <v>518</v>
      </c>
      <c r="D18" s="19" t="s">
        <v>543</v>
      </c>
      <c r="E18" s="23" t="s">
        <v>66</v>
      </c>
      <c r="F18" s="19" t="s">
        <v>552</v>
      </c>
      <c r="G18" s="18">
        <v>2019</v>
      </c>
      <c r="H18" s="18">
        <v>2022</v>
      </c>
      <c r="I18" s="18" t="s">
        <v>553</v>
      </c>
      <c r="J18" s="179">
        <v>4300000</v>
      </c>
      <c r="K18" s="179">
        <v>4300000</v>
      </c>
      <c r="L18" s="122" t="s">
        <v>495</v>
      </c>
      <c r="M18" s="23"/>
    </row>
    <row r="19" spans="1:13" ht="75" x14ac:dyDescent="0.25">
      <c r="A19" s="19" t="s">
        <v>554</v>
      </c>
      <c r="B19" s="23" t="s">
        <v>373</v>
      </c>
      <c r="C19" s="117">
        <v>4</v>
      </c>
      <c r="D19" s="19" t="s">
        <v>528</v>
      </c>
      <c r="E19" s="23" t="s">
        <v>66</v>
      </c>
      <c r="F19" s="19" t="s">
        <v>555</v>
      </c>
      <c r="G19" s="18">
        <v>2017</v>
      </c>
      <c r="H19" s="18">
        <v>2022</v>
      </c>
      <c r="I19" s="18" t="s">
        <v>292</v>
      </c>
      <c r="J19" s="179">
        <v>4600000</v>
      </c>
      <c r="K19" s="179">
        <v>4600000</v>
      </c>
      <c r="L19" s="122" t="s">
        <v>495</v>
      </c>
      <c r="M19" s="23"/>
    </row>
    <row r="20" spans="1:13" ht="90" x14ac:dyDescent="0.25">
      <c r="A20" s="19" t="s">
        <v>556</v>
      </c>
      <c r="B20" s="23" t="s">
        <v>551</v>
      </c>
      <c r="C20" s="117">
        <v>4</v>
      </c>
      <c r="D20" s="19" t="s">
        <v>528</v>
      </c>
      <c r="E20" s="23" t="s">
        <v>66</v>
      </c>
      <c r="F20" s="19" t="s">
        <v>557</v>
      </c>
      <c r="G20" s="18">
        <v>2019</v>
      </c>
      <c r="H20" s="18">
        <v>2022</v>
      </c>
      <c r="I20" s="18" t="s">
        <v>191</v>
      </c>
      <c r="J20" s="174"/>
      <c r="K20" s="179">
        <v>2000000</v>
      </c>
      <c r="L20" s="122" t="s">
        <v>545</v>
      </c>
      <c r="M20" s="23" t="s">
        <v>558</v>
      </c>
    </row>
    <row r="21" spans="1:13" ht="45" x14ac:dyDescent="0.25">
      <c r="A21" s="19" t="s">
        <v>559</v>
      </c>
      <c r="B21" s="23" t="s">
        <v>373</v>
      </c>
      <c r="C21" s="26">
        <v>4</v>
      </c>
      <c r="D21" s="19" t="s">
        <v>528</v>
      </c>
      <c r="E21" s="23" t="s">
        <v>66</v>
      </c>
      <c r="F21" s="19" t="s">
        <v>560</v>
      </c>
      <c r="G21" s="18">
        <v>2018</v>
      </c>
      <c r="H21" s="18">
        <v>2021</v>
      </c>
      <c r="I21" s="18" t="s">
        <v>139</v>
      </c>
      <c r="J21" s="179">
        <v>32000000</v>
      </c>
      <c r="K21" s="179">
        <v>19000000</v>
      </c>
      <c r="L21" s="122" t="s">
        <v>545</v>
      </c>
      <c r="M21" s="23" t="s">
        <v>561</v>
      </c>
    </row>
    <row r="22" spans="1:13" x14ac:dyDescent="0.25">
      <c r="A22" s="157" t="s">
        <v>562</v>
      </c>
      <c r="B22" s="157"/>
      <c r="C22" s="157"/>
      <c r="D22" s="157"/>
      <c r="E22" s="157"/>
      <c r="F22" s="157"/>
      <c r="G22" s="157"/>
      <c r="H22" s="157"/>
      <c r="I22" s="157"/>
      <c r="J22" s="157"/>
      <c r="K22" s="157"/>
      <c r="L22" s="157"/>
    </row>
    <row r="23" spans="1:13" ht="75" x14ac:dyDescent="0.25">
      <c r="A23" s="108" t="s">
        <v>563</v>
      </c>
      <c r="B23" s="109"/>
      <c r="C23" s="123">
        <v>4</v>
      </c>
      <c r="D23" s="21" t="s">
        <v>564</v>
      </c>
      <c r="E23" s="22" t="s">
        <v>66</v>
      </c>
      <c r="F23" s="124" t="s">
        <v>565</v>
      </c>
      <c r="G23" s="29">
        <v>2019</v>
      </c>
      <c r="H23" s="29">
        <v>2023</v>
      </c>
      <c r="I23" s="125" t="s">
        <v>553</v>
      </c>
      <c r="J23" s="178"/>
      <c r="K23" s="182">
        <v>403411</v>
      </c>
      <c r="L23" s="122" t="s">
        <v>495</v>
      </c>
      <c r="M23" s="126"/>
    </row>
    <row r="24" spans="1:13" ht="75" x14ac:dyDescent="0.25">
      <c r="A24" s="109" t="s">
        <v>566</v>
      </c>
      <c r="B24" s="109"/>
      <c r="C24" s="127">
        <v>6</v>
      </c>
      <c r="D24" s="21" t="s">
        <v>567</v>
      </c>
      <c r="E24" s="22" t="s">
        <v>66</v>
      </c>
      <c r="F24" s="128" t="s">
        <v>568</v>
      </c>
      <c r="G24" s="29">
        <v>2022</v>
      </c>
      <c r="H24" s="29" t="s">
        <v>569</v>
      </c>
      <c r="I24" s="29" t="s">
        <v>570</v>
      </c>
      <c r="J24" s="182">
        <v>6000000</v>
      </c>
      <c r="K24" s="182">
        <v>6000000</v>
      </c>
      <c r="L24" s="122" t="s">
        <v>495</v>
      </c>
      <c r="M24" s="129" t="s">
        <v>571</v>
      </c>
    </row>
    <row r="25" spans="1:13" ht="75" x14ac:dyDescent="0.25">
      <c r="A25" s="108" t="s">
        <v>572</v>
      </c>
      <c r="B25" s="109"/>
      <c r="C25" s="127">
        <v>6</v>
      </c>
      <c r="D25" s="109" t="s">
        <v>573</v>
      </c>
      <c r="E25" s="109" t="s">
        <v>66</v>
      </c>
      <c r="F25" s="130" t="s">
        <v>574</v>
      </c>
      <c r="G25" s="29">
        <v>2022</v>
      </c>
      <c r="H25" s="29">
        <v>2026</v>
      </c>
      <c r="I25" s="125" t="s">
        <v>489</v>
      </c>
      <c r="J25" s="182">
        <v>4891606</v>
      </c>
      <c r="K25" s="182">
        <v>4650000</v>
      </c>
      <c r="L25" s="122" t="s">
        <v>575</v>
      </c>
      <c r="M25" s="129" t="s">
        <v>576</v>
      </c>
    </row>
    <row r="26" spans="1:13" ht="45" x14ac:dyDescent="0.25">
      <c r="A26" s="109" t="s">
        <v>577</v>
      </c>
      <c r="B26" s="109"/>
      <c r="C26" s="127">
        <v>5.6</v>
      </c>
      <c r="D26" s="109" t="s">
        <v>543</v>
      </c>
      <c r="E26" s="109" t="s">
        <v>66</v>
      </c>
      <c r="F26" s="109" t="s">
        <v>578</v>
      </c>
      <c r="G26" s="29">
        <v>2022</v>
      </c>
      <c r="H26" s="29">
        <v>2025</v>
      </c>
      <c r="I26" s="29" t="s">
        <v>157</v>
      </c>
      <c r="J26" s="182">
        <v>40000000</v>
      </c>
      <c r="K26" s="182">
        <v>30000000</v>
      </c>
      <c r="L26" s="122" t="s">
        <v>531</v>
      </c>
      <c r="M26" s="129" t="s">
        <v>579</v>
      </c>
    </row>
    <row r="27" spans="1:13" ht="45" x14ac:dyDescent="0.25">
      <c r="A27" s="109" t="s">
        <v>580</v>
      </c>
      <c r="B27" s="109"/>
      <c r="C27" s="127">
        <v>5.6</v>
      </c>
      <c r="D27" s="109" t="s">
        <v>581</v>
      </c>
      <c r="E27" s="109" t="s">
        <v>66</v>
      </c>
      <c r="F27" s="109" t="s">
        <v>582</v>
      </c>
      <c r="G27" s="29">
        <v>2022</v>
      </c>
      <c r="H27" s="29">
        <v>2025</v>
      </c>
      <c r="I27" s="125" t="s">
        <v>583</v>
      </c>
      <c r="J27" s="182">
        <v>8540224</v>
      </c>
      <c r="K27" s="182">
        <v>7421455</v>
      </c>
      <c r="L27" s="122" t="s">
        <v>531</v>
      </c>
      <c r="M27" s="129" t="s">
        <v>584</v>
      </c>
    </row>
    <row r="28" spans="1:13" ht="45" x14ac:dyDescent="0.25">
      <c r="A28" s="109" t="s">
        <v>585</v>
      </c>
      <c r="B28" s="109"/>
      <c r="C28" s="127" t="s">
        <v>586</v>
      </c>
      <c r="D28" s="109" t="s">
        <v>581</v>
      </c>
      <c r="E28" s="109" t="s">
        <v>66</v>
      </c>
      <c r="F28" s="109" t="s">
        <v>587</v>
      </c>
      <c r="G28" s="29">
        <v>2023</v>
      </c>
      <c r="H28" s="29">
        <v>2026</v>
      </c>
      <c r="I28" s="29" t="s">
        <v>583</v>
      </c>
      <c r="J28" s="182">
        <v>16148284</v>
      </c>
      <c r="K28" s="182">
        <v>15000000</v>
      </c>
      <c r="L28" s="122" t="s">
        <v>531</v>
      </c>
      <c r="M28" s="129" t="s">
        <v>588</v>
      </c>
    </row>
    <row r="29" spans="1:13" ht="45" x14ac:dyDescent="0.25">
      <c r="A29" s="109" t="s">
        <v>589</v>
      </c>
      <c r="B29" s="109"/>
      <c r="C29" s="127" t="s">
        <v>590</v>
      </c>
      <c r="D29" s="109" t="s">
        <v>581</v>
      </c>
      <c r="E29" s="109" t="s">
        <v>66</v>
      </c>
      <c r="F29" s="109" t="s">
        <v>591</v>
      </c>
      <c r="G29" s="29">
        <v>2022</v>
      </c>
      <c r="H29" s="29">
        <v>2028</v>
      </c>
      <c r="I29" s="29" t="s">
        <v>553</v>
      </c>
      <c r="J29" s="182">
        <v>15830917</v>
      </c>
      <c r="K29" s="182">
        <v>15000000</v>
      </c>
      <c r="L29" s="122" t="s">
        <v>531</v>
      </c>
      <c r="M29" s="129" t="s">
        <v>592</v>
      </c>
    </row>
    <row r="30" spans="1:13" ht="45" x14ac:dyDescent="0.25">
      <c r="A30" s="109" t="s">
        <v>593</v>
      </c>
      <c r="B30" s="109"/>
      <c r="C30" s="127" t="s">
        <v>590</v>
      </c>
      <c r="D30" s="109" t="s">
        <v>581</v>
      </c>
      <c r="E30" s="109" t="s">
        <v>66</v>
      </c>
      <c r="F30" s="109" t="s">
        <v>594</v>
      </c>
      <c r="G30" s="29">
        <v>2022</v>
      </c>
      <c r="H30" s="29">
        <v>2028</v>
      </c>
      <c r="I30" s="29" t="s">
        <v>570</v>
      </c>
      <c r="J30" s="182">
        <v>6867627</v>
      </c>
      <c r="K30" s="182">
        <v>6600000</v>
      </c>
      <c r="L30" s="122" t="s">
        <v>531</v>
      </c>
      <c r="M30" s="129" t="s">
        <v>595</v>
      </c>
    </row>
    <row r="31" spans="1:13" ht="45" x14ac:dyDescent="0.25">
      <c r="A31" s="109" t="s">
        <v>596</v>
      </c>
      <c r="B31" s="109"/>
      <c r="C31" s="127" t="s">
        <v>590</v>
      </c>
      <c r="D31" s="109" t="s">
        <v>581</v>
      </c>
      <c r="E31" s="109" t="s">
        <v>66</v>
      </c>
      <c r="F31" s="109" t="s">
        <v>597</v>
      </c>
      <c r="G31" s="29">
        <v>2023</v>
      </c>
      <c r="H31" s="29">
        <v>2026</v>
      </c>
      <c r="I31" s="29" t="s">
        <v>521</v>
      </c>
      <c r="J31" s="182">
        <v>4515339.78</v>
      </c>
      <c r="K31" s="182">
        <v>4515339.78</v>
      </c>
      <c r="L31" s="122" t="s">
        <v>495</v>
      </c>
      <c r="M31" s="129" t="s">
        <v>598</v>
      </c>
    </row>
    <row r="32" spans="1:13" ht="45" x14ac:dyDescent="0.25">
      <c r="A32" s="109" t="s">
        <v>599</v>
      </c>
      <c r="B32" s="109"/>
      <c r="C32" s="127" t="s">
        <v>590</v>
      </c>
      <c r="D32" s="109" t="s">
        <v>581</v>
      </c>
      <c r="E32" s="109" t="s">
        <v>66</v>
      </c>
      <c r="F32" s="109" t="s">
        <v>600</v>
      </c>
      <c r="G32" s="29">
        <v>2022</v>
      </c>
      <c r="H32" s="29">
        <v>2025</v>
      </c>
      <c r="I32" s="29" t="s">
        <v>553</v>
      </c>
      <c r="J32" s="182">
        <v>3177944</v>
      </c>
      <c r="K32" s="182">
        <v>2900000</v>
      </c>
      <c r="L32" s="122" t="s">
        <v>531</v>
      </c>
      <c r="M32" s="129" t="s">
        <v>601</v>
      </c>
    </row>
    <row r="33" spans="1:13" ht="45" x14ac:dyDescent="0.25">
      <c r="A33" s="109" t="s">
        <v>602</v>
      </c>
      <c r="B33" s="109"/>
      <c r="C33" s="127" t="s">
        <v>590</v>
      </c>
      <c r="D33" s="109" t="s">
        <v>581</v>
      </c>
      <c r="E33" s="109" t="s">
        <v>66</v>
      </c>
      <c r="F33" s="109" t="s">
        <v>603</v>
      </c>
      <c r="G33" s="29">
        <v>2022</v>
      </c>
      <c r="H33" s="29">
        <v>2025</v>
      </c>
      <c r="I33" s="29" t="s">
        <v>139</v>
      </c>
      <c r="J33" s="182">
        <v>5223212</v>
      </c>
      <c r="K33" s="182">
        <v>3097324</v>
      </c>
      <c r="L33" s="122" t="s">
        <v>531</v>
      </c>
      <c r="M33" s="129" t="s">
        <v>604</v>
      </c>
    </row>
    <row r="34" spans="1:13" x14ac:dyDescent="0.25">
      <c r="A34" s="109"/>
      <c r="B34" s="109"/>
      <c r="C34" s="127"/>
      <c r="D34" s="109"/>
      <c r="E34" s="109"/>
      <c r="F34" s="109"/>
      <c r="G34" s="29"/>
      <c r="H34" s="29"/>
      <c r="I34" s="29"/>
      <c r="J34" s="32"/>
      <c r="K34" s="32"/>
      <c r="L34" s="21"/>
      <c r="M34" s="129"/>
    </row>
    <row r="35" spans="1:13" x14ac:dyDescent="0.25">
      <c r="J35" s="28">
        <f>SUM(J3:J33)</f>
        <v>294087153.77999997</v>
      </c>
      <c r="K35" s="97">
        <f>SUM(K3:K33)</f>
        <v>313444529.77999997</v>
      </c>
      <c r="L35" s="97"/>
    </row>
    <row r="36" spans="1:13" x14ac:dyDescent="0.25">
      <c r="C36" s="18"/>
      <c r="K36" s="91" t="s">
        <v>247</v>
      </c>
      <c r="L36" s="101"/>
    </row>
    <row r="37" spans="1:13" x14ac:dyDescent="0.25">
      <c r="C37" s="18"/>
    </row>
    <row r="38" spans="1:13" x14ac:dyDescent="0.25">
      <c r="C38" s="18"/>
    </row>
    <row r="39" spans="1:13" x14ac:dyDescent="0.25">
      <c r="C39" s="18"/>
    </row>
    <row r="40" spans="1:13" x14ac:dyDescent="0.25">
      <c r="C40" s="18"/>
    </row>
    <row r="41" spans="1:13" x14ac:dyDescent="0.25">
      <c r="C41" s="18"/>
    </row>
    <row r="42" spans="1:13" x14ac:dyDescent="0.25">
      <c r="C42" s="18"/>
    </row>
    <row r="43" spans="1:13" x14ac:dyDescent="0.25">
      <c r="C43" s="18"/>
    </row>
    <row r="44" spans="1:13" x14ac:dyDescent="0.25">
      <c r="C44" s="18"/>
    </row>
    <row r="45" spans="1:13" x14ac:dyDescent="0.25">
      <c r="C45" s="18"/>
    </row>
    <row r="46" spans="1:13" x14ac:dyDescent="0.25">
      <c r="C46" s="18"/>
    </row>
    <row r="47" spans="1:13" x14ac:dyDescent="0.25">
      <c r="C47" s="18"/>
    </row>
    <row r="48" spans="1:13" x14ac:dyDescent="0.25">
      <c r="C48" s="18"/>
    </row>
  </sheetData>
  <mergeCells count="1">
    <mergeCell ref="A22:L22"/>
  </mergeCells>
  <phoneticPr fontId="5" type="noConversion"/>
  <hyperlinks>
    <hyperlink ref="F23" r:id="rId1" display="https://www.evt.tf.fau.de/" xr:uid="{7FB61B63-74D4-47C5-A744-E0EF3155AA5F}"/>
  </hyperlinks>
  <pageMargins left="0.7" right="0.7" top="0.75" bottom="0.75" header="0.3" footer="0.3"/>
  <pageSetup paperSize="9" scale="47"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8BB74-8E91-4D8A-807A-0E08EE923C2A}">
  <dimension ref="A1:M36"/>
  <sheetViews>
    <sheetView zoomScale="90" zoomScaleNormal="90" workbookViewId="0"/>
  </sheetViews>
  <sheetFormatPr defaultRowHeight="15" x14ac:dyDescent="0.25"/>
  <cols>
    <col min="1" max="1" width="75.85546875" customWidth="1"/>
    <col min="2" max="2" width="33.7109375" customWidth="1"/>
    <col min="3" max="3" width="17" customWidth="1"/>
    <col min="4" max="4" width="19.28515625" customWidth="1"/>
    <col min="5" max="5" width="35.42578125" customWidth="1"/>
    <col min="6" max="6" width="13.28515625" customWidth="1"/>
    <col min="7" max="7" width="13.140625" customWidth="1"/>
    <col min="9" max="9" width="17.28515625" customWidth="1"/>
    <col min="10" max="10" width="15.7109375" customWidth="1"/>
    <col min="11" max="11" width="42.140625" customWidth="1"/>
    <col min="12" max="12" width="15.140625" customWidth="1"/>
  </cols>
  <sheetData>
    <row r="1" spans="1:13" ht="48" customHeight="1" x14ac:dyDescent="0.35">
      <c r="A1" s="34" t="s">
        <v>16</v>
      </c>
    </row>
    <row r="2" spans="1:13" ht="36" customHeight="1" x14ac:dyDescent="0.25">
      <c r="A2" s="8" t="s">
        <v>605</v>
      </c>
      <c r="B2" s="27" t="s">
        <v>3</v>
      </c>
      <c r="C2" s="8" t="s">
        <v>4</v>
      </c>
      <c r="D2" s="9" t="s">
        <v>162</v>
      </c>
      <c r="E2" s="8" t="s">
        <v>163</v>
      </c>
      <c r="F2" s="8" t="s">
        <v>6</v>
      </c>
      <c r="G2" s="9" t="s">
        <v>7</v>
      </c>
      <c r="H2" s="9" t="s">
        <v>8</v>
      </c>
      <c r="I2" s="8" t="s">
        <v>9</v>
      </c>
      <c r="J2" s="9" t="s">
        <v>164</v>
      </c>
      <c r="K2" s="9" t="s">
        <v>11</v>
      </c>
      <c r="L2" s="86" t="s">
        <v>606</v>
      </c>
    </row>
    <row r="3" spans="1:13" ht="75" x14ac:dyDescent="0.25">
      <c r="A3" s="68" t="s">
        <v>607</v>
      </c>
      <c r="B3" s="254" t="s">
        <v>608</v>
      </c>
      <c r="C3" s="67" t="s">
        <v>609</v>
      </c>
      <c r="D3" s="68" t="s">
        <v>16</v>
      </c>
      <c r="E3" s="69" t="s">
        <v>610</v>
      </c>
      <c r="F3" s="67">
        <v>2015</v>
      </c>
      <c r="G3" s="70">
        <v>2018</v>
      </c>
      <c r="H3" s="67"/>
      <c r="I3" s="71"/>
      <c r="J3" s="72">
        <v>164000</v>
      </c>
      <c r="K3" s="104" t="s">
        <v>611</v>
      </c>
      <c r="L3" s="73" t="s">
        <v>612</v>
      </c>
    </row>
    <row r="4" spans="1:13" ht="60" x14ac:dyDescent="0.25">
      <c r="A4" s="252" t="s">
        <v>613</v>
      </c>
      <c r="B4" s="87" t="s">
        <v>614</v>
      </c>
      <c r="C4" s="67" t="s">
        <v>609</v>
      </c>
      <c r="D4" s="68" t="s">
        <v>16</v>
      </c>
      <c r="E4" s="69" t="s">
        <v>615</v>
      </c>
      <c r="F4" s="67">
        <v>2015</v>
      </c>
      <c r="G4" s="70">
        <v>2018</v>
      </c>
      <c r="H4" s="69"/>
      <c r="I4" s="74"/>
      <c r="J4" s="71">
        <v>221000</v>
      </c>
      <c r="K4" s="104" t="s">
        <v>611</v>
      </c>
      <c r="L4" s="73" t="s">
        <v>616</v>
      </c>
    </row>
    <row r="5" spans="1:13" ht="60" x14ac:dyDescent="0.25">
      <c r="A5" s="253" t="s">
        <v>617</v>
      </c>
      <c r="B5" s="87">
        <v>11</v>
      </c>
      <c r="C5" s="67" t="s">
        <v>609</v>
      </c>
      <c r="D5" s="68" t="s">
        <v>16</v>
      </c>
      <c r="E5" s="69" t="s">
        <v>618</v>
      </c>
      <c r="F5" s="67">
        <v>2015</v>
      </c>
      <c r="G5" s="70">
        <v>2018</v>
      </c>
      <c r="H5" s="69"/>
      <c r="I5" s="74"/>
      <c r="J5" s="75">
        <v>371000</v>
      </c>
      <c r="K5" s="104" t="s">
        <v>611</v>
      </c>
      <c r="L5" s="76" t="s">
        <v>619</v>
      </c>
    </row>
    <row r="6" spans="1:13" ht="60" x14ac:dyDescent="0.25">
      <c r="A6" s="253" t="s">
        <v>620</v>
      </c>
      <c r="B6" s="87">
        <v>7</v>
      </c>
      <c r="C6" s="67" t="s">
        <v>609</v>
      </c>
      <c r="D6" s="68" t="s">
        <v>16</v>
      </c>
      <c r="E6" s="69" t="s">
        <v>621</v>
      </c>
      <c r="F6" s="67">
        <v>2015</v>
      </c>
      <c r="G6" s="70">
        <v>2018</v>
      </c>
      <c r="H6" s="69"/>
      <c r="I6" s="74"/>
      <c r="J6" s="75">
        <v>308000</v>
      </c>
      <c r="K6" s="104" t="s">
        <v>611</v>
      </c>
      <c r="L6" s="76" t="s">
        <v>622</v>
      </c>
    </row>
    <row r="7" spans="1:13" ht="60" x14ac:dyDescent="0.25">
      <c r="A7" s="253" t="s">
        <v>623</v>
      </c>
      <c r="B7" s="87">
        <v>7</v>
      </c>
      <c r="C7" s="67" t="s">
        <v>609</v>
      </c>
      <c r="D7" s="68" t="s">
        <v>16</v>
      </c>
      <c r="E7" s="69" t="s">
        <v>624</v>
      </c>
      <c r="F7" s="67">
        <v>2015</v>
      </c>
      <c r="G7" s="70">
        <v>2018</v>
      </c>
      <c r="H7" s="69"/>
      <c r="I7" s="74"/>
      <c r="J7" s="75">
        <v>364700</v>
      </c>
      <c r="K7" s="104" t="s">
        <v>611</v>
      </c>
      <c r="L7" s="77" t="s">
        <v>625</v>
      </c>
    </row>
    <row r="8" spans="1:13" ht="30" x14ac:dyDescent="0.25">
      <c r="A8" s="106" t="s">
        <v>626</v>
      </c>
      <c r="B8" s="87">
        <v>1</v>
      </c>
      <c r="C8" s="67" t="s">
        <v>627</v>
      </c>
      <c r="D8" s="68" t="s">
        <v>16</v>
      </c>
      <c r="E8" s="69" t="s">
        <v>628</v>
      </c>
      <c r="F8" s="67">
        <v>2018</v>
      </c>
      <c r="G8" s="70">
        <v>2021</v>
      </c>
      <c r="H8" s="69"/>
      <c r="I8" s="74">
        <v>8753407.6199999992</v>
      </c>
      <c r="J8" s="74"/>
      <c r="K8" s="104" t="s">
        <v>629</v>
      </c>
      <c r="L8" s="76" t="s">
        <v>630</v>
      </c>
    </row>
    <row r="9" spans="1:13" ht="30" x14ac:dyDescent="0.25">
      <c r="A9" s="106" t="s">
        <v>631</v>
      </c>
      <c r="B9" s="87" t="s">
        <v>632</v>
      </c>
      <c r="C9" s="67" t="s">
        <v>609</v>
      </c>
      <c r="D9" s="68" t="s">
        <v>16</v>
      </c>
      <c r="E9" s="69" t="s">
        <v>633</v>
      </c>
      <c r="F9" s="67">
        <v>2018</v>
      </c>
      <c r="G9" s="70">
        <v>2021</v>
      </c>
      <c r="H9" s="69"/>
      <c r="I9" s="74"/>
      <c r="J9" s="74">
        <v>3253667.07</v>
      </c>
      <c r="K9" s="104" t="s">
        <v>634</v>
      </c>
      <c r="L9" s="76" t="s">
        <v>635</v>
      </c>
    </row>
    <row r="10" spans="1:13" ht="30.75" thickBot="1" x14ac:dyDescent="0.3">
      <c r="A10" s="106" t="s">
        <v>636</v>
      </c>
      <c r="B10" s="87">
        <v>1</v>
      </c>
      <c r="C10" s="67" t="s">
        <v>609</v>
      </c>
      <c r="D10" s="68" t="s">
        <v>16</v>
      </c>
      <c r="E10" s="69" t="s">
        <v>637</v>
      </c>
      <c r="F10" s="67">
        <v>2018</v>
      </c>
      <c r="G10" s="70">
        <v>2021</v>
      </c>
      <c r="H10" s="69"/>
      <c r="I10" s="74">
        <v>9739999.9600000009</v>
      </c>
      <c r="J10" s="74">
        <v>4793999.96</v>
      </c>
      <c r="K10" s="104" t="s">
        <v>634</v>
      </c>
      <c r="L10" s="76" t="s">
        <v>638</v>
      </c>
    </row>
    <row r="11" spans="1:13" x14ac:dyDescent="0.25">
      <c r="A11" s="106" t="s">
        <v>639</v>
      </c>
      <c r="B11" s="87">
        <v>1</v>
      </c>
      <c r="C11" s="67" t="s">
        <v>640</v>
      </c>
      <c r="D11" s="68" t="s">
        <v>16</v>
      </c>
      <c r="E11" s="69" t="s">
        <v>641</v>
      </c>
      <c r="F11" s="67">
        <v>2016</v>
      </c>
      <c r="G11" s="78">
        <v>2019</v>
      </c>
      <c r="H11" s="69"/>
      <c r="I11" s="74">
        <v>3674110</v>
      </c>
      <c r="J11" s="74">
        <v>3674110</v>
      </c>
      <c r="K11" s="104"/>
      <c r="L11" s="79" t="s">
        <v>642</v>
      </c>
    </row>
    <row r="12" spans="1:13" ht="30" x14ac:dyDescent="0.25">
      <c r="A12" s="106" t="s">
        <v>643</v>
      </c>
      <c r="B12" s="87">
        <v>1</v>
      </c>
      <c r="C12" s="67" t="s">
        <v>644</v>
      </c>
      <c r="D12" s="68" t="s">
        <v>16</v>
      </c>
      <c r="E12" s="69" t="s">
        <v>645</v>
      </c>
      <c r="F12" s="80">
        <v>2013</v>
      </c>
      <c r="G12" s="80">
        <v>2017</v>
      </c>
      <c r="H12" s="69"/>
      <c r="I12" s="74"/>
      <c r="J12" s="74"/>
      <c r="K12" s="104"/>
      <c r="L12" s="81" t="s">
        <v>646</v>
      </c>
    </row>
    <row r="13" spans="1:13" ht="30" x14ac:dyDescent="0.25">
      <c r="A13" s="106" t="s">
        <v>648</v>
      </c>
      <c r="B13" s="87" t="s">
        <v>534</v>
      </c>
      <c r="C13" s="67" t="s">
        <v>647</v>
      </c>
      <c r="D13" s="68" t="s">
        <v>16</v>
      </c>
      <c r="E13" s="69" t="s">
        <v>649</v>
      </c>
      <c r="F13" s="80">
        <v>2014</v>
      </c>
      <c r="G13" s="80">
        <v>2017</v>
      </c>
      <c r="I13" s="74">
        <v>2463000.9700000002</v>
      </c>
      <c r="J13" s="74">
        <v>458575</v>
      </c>
      <c r="K13" s="105" t="s">
        <v>650</v>
      </c>
      <c r="L13" s="83" t="s">
        <v>651</v>
      </c>
    </row>
    <row r="14" spans="1:13" ht="60" x14ac:dyDescent="0.25">
      <c r="A14" s="106" t="s">
        <v>652</v>
      </c>
      <c r="B14" s="87">
        <v>12</v>
      </c>
      <c r="C14" s="67" t="s">
        <v>647</v>
      </c>
      <c r="D14" s="67" t="s">
        <v>16</v>
      </c>
      <c r="E14" s="92" t="s">
        <v>653</v>
      </c>
      <c r="F14" s="84">
        <v>2014</v>
      </c>
      <c r="G14" s="84">
        <v>2017</v>
      </c>
      <c r="H14" s="69"/>
      <c r="I14" s="74">
        <v>3926000</v>
      </c>
      <c r="J14" s="74">
        <v>3075000</v>
      </c>
      <c r="K14" s="105" t="s">
        <v>654</v>
      </c>
      <c r="L14" s="81" t="s">
        <v>655</v>
      </c>
      <c r="M14" s="69"/>
    </row>
    <row r="15" spans="1:13" ht="30" x14ac:dyDescent="0.25">
      <c r="A15" s="106" t="s">
        <v>656</v>
      </c>
      <c r="B15" s="87">
        <v>11</v>
      </c>
      <c r="C15" s="67" t="s">
        <v>647</v>
      </c>
      <c r="D15" s="68" t="s">
        <v>16</v>
      </c>
      <c r="E15" s="69" t="s">
        <v>649</v>
      </c>
      <c r="F15" s="78">
        <v>2012</v>
      </c>
      <c r="G15" s="78">
        <v>2015</v>
      </c>
      <c r="I15" s="82">
        <v>15318237.699999999</v>
      </c>
      <c r="J15" s="82">
        <v>9720195.0800000001</v>
      </c>
      <c r="K15" s="105" t="s">
        <v>654</v>
      </c>
      <c r="L15" s="83" t="s">
        <v>657</v>
      </c>
    </row>
    <row r="16" spans="1:13" ht="29.25" x14ac:dyDescent="0.25">
      <c r="A16" s="105" t="s">
        <v>658</v>
      </c>
      <c r="B16" s="46" t="s">
        <v>659</v>
      </c>
      <c r="C16" s="67" t="s">
        <v>644</v>
      </c>
      <c r="D16" s="69" t="s">
        <v>16</v>
      </c>
      <c r="E16" s="69" t="s">
        <v>660</v>
      </c>
      <c r="F16" s="78">
        <v>2012</v>
      </c>
      <c r="G16" s="78">
        <v>2015</v>
      </c>
      <c r="I16" s="82">
        <v>10107028</v>
      </c>
      <c r="J16" s="74">
        <v>7530363.7999999998</v>
      </c>
      <c r="K16" s="105" t="s">
        <v>661</v>
      </c>
      <c r="L16" s="81" t="s">
        <v>662</v>
      </c>
    </row>
    <row r="17" spans="1:12" ht="29.25" x14ac:dyDescent="0.25">
      <c r="A17" s="105" t="s">
        <v>663</v>
      </c>
      <c r="B17" s="46" t="s">
        <v>664</v>
      </c>
      <c r="C17" s="92" t="s">
        <v>665</v>
      </c>
      <c r="D17" s="69" t="s">
        <v>16</v>
      </c>
      <c r="E17" s="69" t="s">
        <v>666</v>
      </c>
      <c r="F17" s="78">
        <v>2019</v>
      </c>
      <c r="G17" s="78">
        <v>2022</v>
      </c>
      <c r="I17" s="93">
        <v>4318451.66</v>
      </c>
      <c r="J17" s="93">
        <v>4318451.66</v>
      </c>
      <c r="K17" s="105" t="s">
        <v>667</v>
      </c>
      <c r="L17" s="83" t="s">
        <v>668</v>
      </c>
    </row>
    <row r="18" spans="1:12" ht="30" x14ac:dyDescent="0.25">
      <c r="A18" s="106" t="s">
        <v>669</v>
      </c>
      <c r="B18" s="46">
        <v>9</v>
      </c>
      <c r="C18" s="92" t="s">
        <v>670</v>
      </c>
      <c r="D18" s="69" t="s">
        <v>16</v>
      </c>
      <c r="E18" s="69" t="s">
        <v>671</v>
      </c>
      <c r="F18" s="94">
        <v>2017</v>
      </c>
      <c r="G18" s="94">
        <v>2019</v>
      </c>
      <c r="I18" s="93">
        <v>700600</v>
      </c>
      <c r="J18" s="93">
        <v>700600</v>
      </c>
      <c r="K18" s="105" t="s">
        <v>672</v>
      </c>
      <c r="L18" s="81" t="s">
        <v>673</v>
      </c>
    </row>
    <row r="19" spans="1:12" ht="30" x14ac:dyDescent="0.25">
      <c r="A19" s="105" t="s">
        <v>674</v>
      </c>
      <c r="B19" s="46" t="s">
        <v>534</v>
      </c>
      <c r="C19" s="92" t="s">
        <v>675</v>
      </c>
      <c r="D19" s="69" t="s">
        <v>16</v>
      </c>
      <c r="E19" s="95" t="s">
        <v>676</v>
      </c>
      <c r="F19" s="94">
        <v>2020</v>
      </c>
      <c r="G19" s="94">
        <v>2021</v>
      </c>
      <c r="I19" s="74">
        <v>702400</v>
      </c>
      <c r="J19" s="74">
        <v>35200</v>
      </c>
      <c r="K19" s="106" t="s">
        <v>672</v>
      </c>
      <c r="L19" s="81" t="s">
        <v>677</v>
      </c>
    </row>
    <row r="20" spans="1:12" ht="43.5" x14ac:dyDescent="0.25">
      <c r="A20" s="106" t="s">
        <v>678</v>
      </c>
      <c r="B20" s="46" t="s">
        <v>679</v>
      </c>
      <c r="C20" s="69" t="s">
        <v>680</v>
      </c>
      <c r="D20" s="69" t="s">
        <v>16</v>
      </c>
      <c r="E20" s="69" t="s">
        <v>681</v>
      </c>
      <c r="F20" s="94">
        <v>2018</v>
      </c>
      <c r="G20" s="94">
        <v>2021</v>
      </c>
      <c r="I20" s="93">
        <v>1275640</v>
      </c>
      <c r="J20" s="93">
        <v>510256</v>
      </c>
      <c r="K20" s="105" t="s">
        <v>682</v>
      </c>
      <c r="L20" s="81" t="s">
        <v>683</v>
      </c>
    </row>
    <row r="21" spans="1:12" ht="30" x14ac:dyDescent="0.25">
      <c r="A21" s="106" t="s">
        <v>684</v>
      </c>
      <c r="B21" s="46" t="s">
        <v>679</v>
      </c>
      <c r="C21" s="69" t="s">
        <v>685</v>
      </c>
      <c r="D21" s="69" t="s">
        <v>16</v>
      </c>
      <c r="E21" s="69" t="s">
        <v>686</v>
      </c>
      <c r="F21" s="94">
        <v>2020</v>
      </c>
      <c r="G21" s="94">
        <v>2023</v>
      </c>
      <c r="I21" s="93">
        <v>183201.72</v>
      </c>
      <c r="J21" s="93">
        <v>183201.72</v>
      </c>
      <c r="K21" s="105" t="s">
        <v>687</v>
      </c>
      <c r="L21" s="81" t="s">
        <v>688</v>
      </c>
    </row>
    <row r="22" spans="1:12" x14ac:dyDescent="0.25">
      <c r="C22" s="67"/>
      <c r="I22" s="74"/>
      <c r="J22" s="74"/>
    </row>
    <row r="23" spans="1:12" x14ac:dyDescent="0.25">
      <c r="I23" s="74">
        <f>SUM(I3:I21)</f>
        <v>61162077.629999995</v>
      </c>
      <c r="J23" s="102">
        <f>SUM(J3:J21)</f>
        <v>39682320.289999992</v>
      </c>
      <c r="K23" s="102">
        <f>(I23-J23)</f>
        <v>21479757.340000004</v>
      </c>
    </row>
    <row r="24" spans="1:12" x14ac:dyDescent="0.25">
      <c r="B24" s="18"/>
      <c r="I24" s="85"/>
      <c r="J24" s="103" t="s">
        <v>247</v>
      </c>
      <c r="K24" s="91" t="s">
        <v>211</v>
      </c>
    </row>
    <row r="25" spans="1:12" x14ac:dyDescent="0.25">
      <c r="B25" s="18"/>
      <c r="I25" s="85"/>
      <c r="J25" s="85"/>
    </row>
    <row r="26" spans="1:12" x14ac:dyDescent="0.25">
      <c r="B26" s="18"/>
      <c r="I26" s="85"/>
      <c r="J26" s="85"/>
    </row>
    <row r="27" spans="1:12" x14ac:dyDescent="0.25">
      <c r="B27" s="18"/>
      <c r="I27" s="85"/>
      <c r="J27" s="85"/>
    </row>
    <row r="28" spans="1:12" x14ac:dyDescent="0.25">
      <c r="B28" s="18"/>
      <c r="I28" s="85"/>
      <c r="J28" s="85"/>
    </row>
    <row r="29" spans="1:12" x14ac:dyDescent="0.25">
      <c r="B29" s="18"/>
      <c r="I29" s="85"/>
      <c r="J29" s="85"/>
    </row>
    <row r="30" spans="1:12" x14ac:dyDescent="0.25">
      <c r="B30" s="18"/>
    </row>
    <row r="31" spans="1:12" x14ac:dyDescent="0.25">
      <c r="B31" s="18"/>
    </row>
    <row r="32" spans="1:12" x14ac:dyDescent="0.25">
      <c r="B32" s="18"/>
    </row>
    <row r="33" spans="2:2" x14ac:dyDescent="0.25">
      <c r="B33" s="18"/>
    </row>
    <row r="34" spans="2:2" x14ac:dyDescent="0.25">
      <c r="B34" s="18"/>
    </row>
    <row r="35" spans="2:2" x14ac:dyDescent="0.25">
      <c r="B35" s="18"/>
    </row>
    <row r="36" spans="2:2" x14ac:dyDescent="0.25">
      <c r="B36" s="18"/>
    </row>
  </sheetData>
  <dataValidations count="1">
    <dataValidation type="list" allowBlank="1" showErrorMessage="1" sqref="H3" xr:uid="{9D904E78-30A6-466A-AE26-C9A51659DE9F}">
      <formula1>"TRL 1-3,TRL 4-5,TRL 6-7,TRL 8-9"</formula1>
    </dataValidation>
  </dataValidations>
  <hyperlinks>
    <hyperlink ref="L3" r:id="rId1" xr:uid="{C9793B3E-CCFA-49FA-924C-A8F3BAC8BB87}"/>
    <hyperlink ref="L5" r:id="rId2" xr:uid="{206146AA-130D-4F19-9FBB-4D10CCD30BD8}"/>
    <hyperlink ref="L6" r:id="rId3" xr:uid="{B503E759-F96D-4123-A533-AAE291CCC874}"/>
    <hyperlink ref="L7" r:id="rId4" xr:uid="{31E9D008-B662-4D38-8CC6-1DBB029C6694}"/>
    <hyperlink ref="L8" r:id="rId5" xr:uid="{66838B46-FAF5-43D7-8064-A16EE8788C32}"/>
    <hyperlink ref="L9" r:id="rId6" xr:uid="{08DA5A4E-08B3-4496-A9F8-492AD3E04A05}"/>
    <hyperlink ref="L10" r:id="rId7" xr:uid="{058F50BA-C3CD-4A0E-B5A3-41FC7CDC96AC}"/>
    <hyperlink ref="L11" r:id="rId8" xr:uid="{8BE62671-B4EC-4AE8-9D0B-DB3CC976D134}"/>
    <hyperlink ref="L12" r:id="rId9" xr:uid="{F59C322E-CF73-4E69-B822-28A056275CDB}"/>
    <hyperlink ref="L13" r:id="rId10" xr:uid="{96FD2966-8D6E-4D12-82F0-96157E7621F4}"/>
    <hyperlink ref="L14" r:id="rId11" xr:uid="{2D3ECC5C-F86F-4539-8923-5B346A806258}"/>
    <hyperlink ref="L15" r:id="rId12" xr:uid="{17023187-CFE1-47BD-A44C-F0299D3CBA5C}"/>
    <hyperlink ref="L16" r:id="rId13" xr:uid="{CA288441-2BE9-4D18-8144-C914FF6EE19E}"/>
    <hyperlink ref="L17" r:id="rId14" xr:uid="{DA260202-9036-4E10-9C6D-5E3BC5D8FC8D}"/>
    <hyperlink ref="L18" r:id="rId15" xr:uid="{4C18317B-839B-4436-A3ED-F9B4B58AFA74}"/>
    <hyperlink ref="L19" r:id="rId16" xr:uid="{F861D907-C731-4986-A94C-FBC4BC2B185E}"/>
    <hyperlink ref="L20" r:id="rId17" xr:uid="{4440BB38-E3AA-4F4F-AB18-BD9C74E4B12D}"/>
    <hyperlink ref="L21" r:id="rId18" xr:uid="{15A0430F-FBEF-432B-98B0-E58876ED7ECD}"/>
  </hyperlinks>
  <pageMargins left="0.7" right="0.7" top="0.75" bottom="0.75" header="0.3" footer="0.3"/>
  <pageSetup paperSize="9" orientation="portrait"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BE24D-F536-4C59-BC46-71783CB058EF}">
  <sheetPr>
    <pageSetUpPr fitToPage="1"/>
  </sheetPr>
  <dimension ref="A1:M116"/>
  <sheetViews>
    <sheetView zoomScale="90" zoomScaleNormal="90" workbookViewId="0">
      <selection activeCell="M1" sqref="M1:M1048576"/>
    </sheetView>
  </sheetViews>
  <sheetFormatPr defaultColWidth="8.7109375" defaultRowHeight="15" x14ac:dyDescent="0.25"/>
  <cols>
    <col min="1" max="1" width="37.140625" customWidth="1"/>
    <col min="2" max="2" width="12.7109375" hidden="1" customWidth="1"/>
    <col min="3" max="3" width="17.42578125" customWidth="1"/>
    <col min="4" max="4" width="16.42578125" customWidth="1"/>
    <col min="5" max="5" width="18.42578125" bestFit="1" customWidth="1"/>
    <col min="6" max="6" width="29.5703125" bestFit="1" customWidth="1"/>
    <col min="7" max="7" width="12.28515625" customWidth="1"/>
    <col min="8" max="8" width="11" customWidth="1"/>
    <col min="9" max="9" width="8.5703125" customWidth="1"/>
    <col min="10" max="10" width="16.5703125" customWidth="1"/>
    <col min="11" max="11" width="14.28515625" bestFit="1" customWidth="1"/>
    <col min="12" max="12" width="28" customWidth="1"/>
  </cols>
  <sheetData>
    <row r="1" spans="1:13" s="12" customFormat="1" ht="42" customHeight="1" x14ac:dyDescent="0.5">
      <c r="A1" s="34" t="s">
        <v>142</v>
      </c>
    </row>
    <row r="2" spans="1:13" s="7" customFormat="1" ht="31.5" x14ac:dyDescent="0.25">
      <c r="A2" s="36" t="s">
        <v>1</v>
      </c>
      <c r="B2" s="35" t="s">
        <v>2</v>
      </c>
      <c r="C2" s="37" t="s">
        <v>3</v>
      </c>
      <c r="D2" s="38" t="s">
        <v>4</v>
      </c>
      <c r="E2" s="39" t="s">
        <v>162</v>
      </c>
      <c r="F2" s="40" t="s">
        <v>163</v>
      </c>
      <c r="G2" s="40" t="s">
        <v>6</v>
      </c>
      <c r="H2" s="39" t="s">
        <v>7</v>
      </c>
      <c r="I2" s="39" t="s">
        <v>8</v>
      </c>
      <c r="J2" s="40" t="s">
        <v>9</v>
      </c>
      <c r="K2" s="40" t="s">
        <v>164</v>
      </c>
      <c r="L2" s="9" t="s">
        <v>11</v>
      </c>
    </row>
    <row r="3" spans="1:13" ht="45" x14ac:dyDescent="0.25">
      <c r="A3" s="205" t="s">
        <v>689</v>
      </c>
      <c r="B3" s="206"/>
      <c r="C3" s="207" t="s">
        <v>690</v>
      </c>
      <c r="D3" s="177" t="s">
        <v>691</v>
      </c>
      <c r="E3" s="208" t="s">
        <v>142</v>
      </c>
      <c r="F3" s="209" t="s">
        <v>692</v>
      </c>
      <c r="G3" s="210">
        <v>2012</v>
      </c>
      <c r="H3" s="211">
        <v>2019</v>
      </c>
      <c r="I3" s="211" t="s">
        <v>107</v>
      </c>
      <c r="J3" s="212">
        <v>17734168</v>
      </c>
      <c r="K3" s="213">
        <v>8867084</v>
      </c>
      <c r="L3" s="214" t="s">
        <v>693</v>
      </c>
      <c r="M3" s="194"/>
    </row>
    <row r="4" spans="1:13" ht="45" x14ac:dyDescent="0.25">
      <c r="A4" s="205" t="s">
        <v>694</v>
      </c>
      <c r="B4" s="206"/>
      <c r="C4" s="207" t="s">
        <v>695</v>
      </c>
      <c r="D4" s="177" t="s">
        <v>691</v>
      </c>
      <c r="E4" s="173" t="s">
        <v>142</v>
      </c>
      <c r="F4" s="209" t="s">
        <v>696</v>
      </c>
      <c r="G4" s="210">
        <v>2013</v>
      </c>
      <c r="H4" s="216">
        <v>2018</v>
      </c>
      <c r="I4" s="174" t="s">
        <v>107</v>
      </c>
      <c r="J4" s="217">
        <v>6140000</v>
      </c>
      <c r="K4" s="213">
        <v>3070000</v>
      </c>
      <c r="L4" s="214" t="s">
        <v>693</v>
      </c>
      <c r="M4" s="194"/>
    </row>
    <row r="5" spans="1:13" ht="45" x14ac:dyDescent="0.25">
      <c r="A5" s="205" t="s">
        <v>697</v>
      </c>
      <c r="B5" s="206"/>
      <c r="C5" s="207" t="s">
        <v>698</v>
      </c>
      <c r="D5" s="177" t="s">
        <v>691</v>
      </c>
      <c r="E5" s="208" t="s">
        <v>142</v>
      </c>
      <c r="F5" s="218" t="s">
        <v>699</v>
      </c>
      <c r="G5" s="174">
        <v>2015</v>
      </c>
      <c r="H5" s="216">
        <v>2022</v>
      </c>
      <c r="I5" s="219" t="s">
        <v>700</v>
      </c>
      <c r="J5" s="213">
        <v>3956666.666666667</v>
      </c>
      <c r="K5" s="213">
        <v>2374000</v>
      </c>
      <c r="L5" s="214" t="s">
        <v>693</v>
      </c>
      <c r="M5" s="194"/>
    </row>
    <row r="6" spans="1:13" ht="45" x14ac:dyDescent="0.25">
      <c r="A6" s="205" t="s">
        <v>701</v>
      </c>
      <c r="B6" s="206"/>
      <c r="C6" s="207" t="s">
        <v>698</v>
      </c>
      <c r="D6" s="177" t="s">
        <v>691</v>
      </c>
      <c r="E6" s="208" t="s">
        <v>142</v>
      </c>
      <c r="F6" s="209" t="s">
        <v>702</v>
      </c>
      <c r="G6" s="210">
        <v>2015</v>
      </c>
      <c r="H6" s="211">
        <v>2020</v>
      </c>
      <c r="I6" s="211" t="s">
        <v>703</v>
      </c>
      <c r="J6" s="220">
        <v>2622125</v>
      </c>
      <c r="K6" s="212">
        <v>1573275</v>
      </c>
      <c r="L6" s="214" t="s">
        <v>693</v>
      </c>
      <c r="M6" s="194"/>
    </row>
    <row r="7" spans="1:13" ht="45" x14ac:dyDescent="0.25">
      <c r="A7" s="205" t="s">
        <v>704</v>
      </c>
      <c r="B7" s="206"/>
      <c r="C7" s="207" t="s">
        <v>698</v>
      </c>
      <c r="D7" s="177" t="s">
        <v>691</v>
      </c>
      <c r="E7" s="173" t="s">
        <v>142</v>
      </c>
      <c r="F7" s="209" t="s">
        <v>705</v>
      </c>
      <c r="G7" s="210">
        <v>2015</v>
      </c>
      <c r="H7" s="211">
        <v>2018</v>
      </c>
      <c r="I7" s="211" t="s">
        <v>706</v>
      </c>
      <c r="J7" s="220">
        <v>6973728.333333334</v>
      </c>
      <c r="K7" s="213">
        <v>4184237</v>
      </c>
      <c r="L7" s="214" t="s">
        <v>693</v>
      </c>
      <c r="M7" s="194"/>
    </row>
    <row r="8" spans="1:13" ht="45" x14ac:dyDescent="0.25">
      <c r="A8" s="205" t="s">
        <v>707</v>
      </c>
      <c r="B8" s="206"/>
      <c r="C8" s="207" t="s">
        <v>708</v>
      </c>
      <c r="D8" s="177" t="s">
        <v>691</v>
      </c>
      <c r="E8" s="173" t="s">
        <v>142</v>
      </c>
      <c r="F8" s="209" t="s">
        <v>709</v>
      </c>
      <c r="G8" s="210">
        <v>2016</v>
      </c>
      <c r="H8" s="210">
        <v>2022</v>
      </c>
      <c r="I8" s="211" t="s">
        <v>700</v>
      </c>
      <c r="J8" s="213">
        <v>6137350</v>
      </c>
      <c r="K8" s="213">
        <v>3682410</v>
      </c>
      <c r="L8" s="214" t="s">
        <v>693</v>
      </c>
      <c r="M8" s="194"/>
    </row>
    <row r="9" spans="1:13" ht="60" x14ac:dyDescent="0.25">
      <c r="A9" s="205" t="s">
        <v>710</v>
      </c>
      <c r="B9" s="206"/>
      <c r="C9" s="207" t="s">
        <v>698</v>
      </c>
      <c r="D9" s="177" t="s">
        <v>691</v>
      </c>
      <c r="E9" s="208" t="s">
        <v>142</v>
      </c>
      <c r="F9" s="209" t="s">
        <v>711</v>
      </c>
      <c r="G9" s="210">
        <v>2016</v>
      </c>
      <c r="H9" s="211">
        <v>2020</v>
      </c>
      <c r="I9" s="211" t="s">
        <v>703</v>
      </c>
      <c r="J9" s="220">
        <v>3168741.666666667</v>
      </c>
      <c r="K9" s="212">
        <v>1901245</v>
      </c>
      <c r="L9" s="214" t="s">
        <v>693</v>
      </c>
      <c r="M9" s="194"/>
    </row>
    <row r="10" spans="1:13" ht="45" x14ac:dyDescent="0.25">
      <c r="A10" s="205" t="s">
        <v>712</v>
      </c>
      <c r="B10" s="206"/>
      <c r="C10" s="207" t="s">
        <v>698</v>
      </c>
      <c r="D10" s="177" t="s">
        <v>691</v>
      </c>
      <c r="E10" s="208" t="s">
        <v>142</v>
      </c>
      <c r="F10" s="209" t="s">
        <v>713</v>
      </c>
      <c r="G10" s="174">
        <v>2016</v>
      </c>
      <c r="H10" s="216">
        <v>2022</v>
      </c>
      <c r="I10" s="211" t="s">
        <v>700</v>
      </c>
      <c r="J10" s="213">
        <v>10000000</v>
      </c>
      <c r="K10" s="213">
        <v>6000000</v>
      </c>
      <c r="L10" s="214" t="s">
        <v>693</v>
      </c>
      <c r="M10" s="194"/>
    </row>
    <row r="11" spans="1:13" ht="45" x14ac:dyDescent="0.25">
      <c r="A11" s="205" t="s">
        <v>714</v>
      </c>
      <c r="B11" s="206"/>
      <c r="C11" s="207" t="s">
        <v>690</v>
      </c>
      <c r="D11" s="177" t="s">
        <v>691</v>
      </c>
      <c r="E11" s="173" t="s">
        <v>142</v>
      </c>
      <c r="F11" s="218" t="s">
        <v>715</v>
      </c>
      <c r="G11" s="210">
        <v>2016</v>
      </c>
      <c r="H11" s="216">
        <v>2019</v>
      </c>
      <c r="I11" s="210" t="s">
        <v>107</v>
      </c>
      <c r="J11" s="213">
        <v>996568</v>
      </c>
      <c r="K11" s="213">
        <v>498284</v>
      </c>
      <c r="L11" s="214" t="s">
        <v>693</v>
      </c>
      <c r="M11" s="194"/>
    </row>
    <row r="12" spans="1:13" ht="45" x14ac:dyDescent="0.25">
      <c r="A12" s="205" t="s">
        <v>716</v>
      </c>
      <c r="B12" s="206"/>
      <c r="C12" s="207" t="s">
        <v>708</v>
      </c>
      <c r="D12" s="177" t="s">
        <v>691</v>
      </c>
      <c r="E12" s="208" t="s">
        <v>142</v>
      </c>
      <c r="F12" s="221" t="s">
        <v>717</v>
      </c>
      <c r="G12" s="210">
        <v>2017</v>
      </c>
      <c r="H12" s="211">
        <v>2020</v>
      </c>
      <c r="I12" s="211" t="s">
        <v>700</v>
      </c>
      <c r="J12" s="213">
        <v>3396276.666666667</v>
      </c>
      <c r="K12" s="213">
        <v>2037766</v>
      </c>
      <c r="L12" s="214" t="s">
        <v>693</v>
      </c>
      <c r="M12" s="194"/>
    </row>
    <row r="13" spans="1:13" ht="45" x14ac:dyDescent="0.25">
      <c r="A13" s="205" t="s">
        <v>718</v>
      </c>
      <c r="B13" s="206"/>
      <c r="C13" s="207" t="s">
        <v>690</v>
      </c>
      <c r="D13" s="177" t="s">
        <v>691</v>
      </c>
      <c r="E13" s="173" t="s">
        <v>142</v>
      </c>
      <c r="F13" s="222" t="s">
        <v>719</v>
      </c>
      <c r="G13" s="174">
        <v>2017</v>
      </c>
      <c r="H13" s="216">
        <v>2020</v>
      </c>
      <c r="I13" s="211" t="s">
        <v>263</v>
      </c>
      <c r="J13" s="213">
        <v>999800</v>
      </c>
      <c r="K13" s="213">
        <v>499900</v>
      </c>
      <c r="L13" s="214" t="s">
        <v>693</v>
      </c>
      <c r="M13" s="194"/>
    </row>
    <row r="14" spans="1:13" ht="45" x14ac:dyDescent="0.25">
      <c r="A14" s="218" t="s">
        <v>720</v>
      </c>
      <c r="B14" s="206"/>
      <c r="C14" s="207" t="s">
        <v>721</v>
      </c>
      <c r="D14" s="177" t="s">
        <v>691</v>
      </c>
      <c r="E14" s="208" t="s">
        <v>142</v>
      </c>
      <c r="F14" s="173" t="s">
        <v>722</v>
      </c>
      <c r="G14" s="210" t="s">
        <v>723</v>
      </c>
      <c r="H14" s="216">
        <v>2020</v>
      </c>
      <c r="I14" s="210" t="s">
        <v>724</v>
      </c>
      <c r="J14" s="213">
        <v>1262193.3333333335</v>
      </c>
      <c r="K14" s="213">
        <v>757316</v>
      </c>
      <c r="L14" s="214" t="s">
        <v>693</v>
      </c>
      <c r="M14" s="194"/>
    </row>
    <row r="15" spans="1:13" ht="45" x14ac:dyDescent="0.25">
      <c r="A15" s="205" t="s">
        <v>725</v>
      </c>
      <c r="B15" s="206"/>
      <c r="C15" s="207" t="s">
        <v>690</v>
      </c>
      <c r="D15" s="177" t="s">
        <v>691</v>
      </c>
      <c r="E15" s="173" t="s">
        <v>142</v>
      </c>
      <c r="F15" s="208" t="s">
        <v>726</v>
      </c>
      <c r="G15" s="223">
        <v>2018</v>
      </c>
      <c r="H15" s="216">
        <v>2022</v>
      </c>
      <c r="I15" s="219" t="s">
        <v>727</v>
      </c>
      <c r="J15" s="213">
        <v>702760</v>
      </c>
      <c r="K15" s="213">
        <v>408432</v>
      </c>
      <c r="L15" s="214" t="s">
        <v>693</v>
      </c>
      <c r="M15" s="194"/>
    </row>
    <row r="16" spans="1:13" ht="45" x14ac:dyDescent="0.25">
      <c r="A16" s="205" t="s">
        <v>728</v>
      </c>
      <c r="B16" s="206"/>
      <c r="C16" s="207" t="s">
        <v>695</v>
      </c>
      <c r="D16" s="177" t="s">
        <v>691</v>
      </c>
      <c r="E16" s="173" t="s">
        <v>142</v>
      </c>
      <c r="F16" s="209" t="s">
        <v>729</v>
      </c>
      <c r="G16" s="223">
        <v>2018</v>
      </c>
      <c r="H16" s="211">
        <v>2020</v>
      </c>
      <c r="I16" s="211" t="s">
        <v>107</v>
      </c>
      <c r="J16" s="213">
        <v>986820</v>
      </c>
      <c r="K16" s="213">
        <v>493410</v>
      </c>
      <c r="L16" s="214" t="s">
        <v>693</v>
      </c>
      <c r="M16" s="194"/>
    </row>
    <row r="17" spans="1:13" ht="45" x14ac:dyDescent="0.25">
      <c r="A17" s="205" t="s">
        <v>730</v>
      </c>
      <c r="B17" s="206"/>
      <c r="C17" s="207" t="s">
        <v>731</v>
      </c>
      <c r="D17" s="177" t="s">
        <v>691</v>
      </c>
      <c r="E17" s="173" t="s">
        <v>142</v>
      </c>
      <c r="F17" s="218" t="s">
        <v>732</v>
      </c>
      <c r="G17" s="174">
        <v>2018</v>
      </c>
      <c r="H17" s="174">
        <v>2019</v>
      </c>
      <c r="I17" s="210" t="s">
        <v>107</v>
      </c>
      <c r="J17" s="213">
        <v>1634810</v>
      </c>
      <c r="K17" s="213">
        <v>817405</v>
      </c>
      <c r="L17" s="214" t="s">
        <v>693</v>
      </c>
      <c r="M17" s="194"/>
    </row>
    <row r="18" spans="1:13" ht="60" x14ac:dyDescent="0.25">
      <c r="A18" s="205" t="s">
        <v>733</v>
      </c>
      <c r="B18" s="206"/>
      <c r="C18" s="207" t="s">
        <v>708</v>
      </c>
      <c r="D18" s="177" t="s">
        <v>691</v>
      </c>
      <c r="E18" s="173" t="s">
        <v>142</v>
      </c>
      <c r="F18" s="218" t="s">
        <v>734</v>
      </c>
      <c r="G18" s="224">
        <v>2018</v>
      </c>
      <c r="H18" s="210">
        <v>2019</v>
      </c>
      <c r="I18" s="225" t="s">
        <v>700</v>
      </c>
      <c r="J18" s="213">
        <v>2889393.3333333335</v>
      </c>
      <c r="K18" s="213">
        <v>1733636</v>
      </c>
      <c r="L18" s="214" t="s">
        <v>693</v>
      </c>
      <c r="M18" s="194"/>
    </row>
    <row r="19" spans="1:13" ht="45" x14ac:dyDescent="0.25">
      <c r="A19" s="205" t="s">
        <v>735</v>
      </c>
      <c r="B19" s="206"/>
      <c r="C19" s="207" t="s">
        <v>731</v>
      </c>
      <c r="D19" s="177" t="s">
        <v>691</v>
      </c>
      <c r="E19" s="173" t="s">
        <v>142</v>
      </c>
      <c r="F19" s="209" t="s">
        <v>736</v>
      </c>
      <c r="G19" s="174">
        <v>2019</v>
      </c>
      <c r="H19" s="216">
        <v>2021</v>
      </c>
      <c r="I19" s="224" t="s">
        <v>107</v>
      </c>
      <c r="J19" s="213">
        <v>892128</v>
      </c>
      <c r="K19" s="213">
        <v>446064</v>
      </c>
      <c r="L19" s="214" t="s">
        <v>693</v>
      </c>
      <c r="M19" s="194"/>
    </row>
    <row r="20" spans="1:13" ht="45" x14ac:dyDescent="0.25">
      <c r="A20" s="205" t="s">
        <v>737</v>
      </c>
      <c r="B20" s="206"/>
      <c r="C20" s="207" t="s">
        <v>698</v>
      </c>
      <c r="D20" s="177" t="s">
        <v>691</v>
      </c>
      <c r="E20" s="173" t="s">
        <v>142</v>
      </c>
      <c r="F20" s="209" t="s">
        <v>738</v>
      </c>
      <c r="G20" s="174">
        <v>2019</v>
      </c>
      <c r="H20" s="216">
        <v>2023</v>
      </c>
      <c r="I20" s="211" t="s">
        <v>107</v>
      </c>
      <c r="J20" s="213">
        <v>1000000</v>
      </c>
      <c r="K20" s="213">
        <v>500000</v>
      </c>
      <c r="L20" s="214" t="s">
        <v>693</v>
      </c>
      <c r="M20" s="194"/>
    </row>
    <row r="21" spans="1:13" ht="45" x14ac:dyDescent="0.25">
      <c r="A21" s="205" t="s">
        <v>739</v>
      </c>
      <c r="B21" s="206"/>
      <c r="C21" s="207" t="s">
        <v>740</v>
      </c>
      <c r="D21" s="177" t="s">
        <v>691</v>
      </c>
      <c r="E21" s="173" t="s">
        <v>142</v>
      </c>
      <c r="F21" s="218" t="s">
        <v>715</v>
      </c>
      <c r="G21" s="174">
        <v>2019</v>
      </c>
      <c r="H21" s="174">
        <v>2023</v>
      </c>
      <c r="I21" s="224" t="s">
        <v>263</v>
      </c>
      <c r="J21" s="213">
        <v>914766</v>
      </c>
      <c r="K21" s="213">
        <v>457383</v>
      </c>
      <c r="L21" s="214" t="s">
        <v>693</v>
      </c>
      <c r="M21" s="194"/>
    </row>
    <row r="22" spans="1:13" ht="45" x14ac:dyDescent="0.25">
      <c r="A22" s="205" t="s">
        <v>741</v>
      </c>
      <c r="B22" s="206"/>
      <c r="C22" s="207" t="s">
        <v>690</v>
      </c>
      <c r="D22" s="177" t="s">
        <v>691</v>
      </c>
      <c r="E22" s="173" t="s">
        <v>142</v>
      </c>
      <c r="F22" s="218" t="s">
        <v>715</v>
      </c>
      <c r="G22" s="174">
        <v>2019</v>
      </c>
      <c r="H22" s="174">
        <v>2022</v>
      </c>
      <c r="I22" s="210" t="s">
        <v>107</v>
      </c>
      <c r="J22" s="213">
        <v>986102</v>
      </c>
      <c r="K22" s="213">
        <v>493051</v>
      </c>
      <c r="L22" s="214" t="s">
        <v>693</v>
      </c>
      <c r="M22" s="194"/>
    </row>
    <row r="23" spans="1:13" ht="45" x14ac:dyDescent="0.25">
      <c r="A23" s="226" t="s">
        <v>742</v>
      </c>
      <c r="B23" s="206"/>
      <c r="C23" s="207" t="s">
        <v>743</v>
      </c>
      <c r="D23" s="177" t="s">
        <v>691</v>
      </c>
      <c r="E23" s="173" t="s">
        <v>142</v>
      </c>
      <c r="F23" s="209" t="s">
        <v>744</v>
      </c>
      <c r="G23" s="174">
        <v>2019</v>
      </c>
      <c r="H23" s="227">
        <v>2023</v>
      </c>
      <c r="I23" s="227" t="s">
        <v>700</v>
      </c>
      <c r="J23" s="213">
        <v>1976735</v>
      </c>
      <c r="K23" s="213">
        <v>1186041</v>
      </c>
      <c r="L23" s="214" t="s">
        <v>693</v>
      </c>
      <c r="M23" s="194"/>
    </row>
    <row r="24" spans="1:13" ht="45" x14ac:dyDescent="0.25">
      <c r="A24" s="226" t="s">
        <v>745</v>
      </c>
      <c r="B24" s="206"/>
      <c r="C24" s="207" t="s">
        <v>721</v>
      </c>
      <c r="D24" s="177" t="s">
        <v>691</v>
      </c>
      <c r="E24" s="173" t="s">
        <v>142</v>
      </c>
      <c r="F24" s="209" t="s">
        <v>746</v>
      </c>
      <c r="G24" s="174">
        <v>2019</v>
      </c>
      <c r="H24" s="227">
        <v>2023</v>
      </c>
      <c r="I24" s="228" t="s">
        <v>706</v>
      </c>
      <c r="J24" s="213">
        <v>11435932</v>
      </c>
      <c r="K24" s="213">
        <v>4776647</v>
      </c>
      <c r="L24" s="214" t="s">
        <v>693</v>
      </c>
      <c r="M24" s="194"/>
    </row>
    <row r="25" spans="1:13" ht="45" x14ac:dyDescent="0.25">
      <c r="A25" s="226" t="s">
        <v>747</v>
      </c>
      <c r="B25" s="206"/>
      <c r="C25" s="207" t="s">
        <v>690</v>
      </c>
      <c r="D25" s="177" t="s">
        <v>691</v>
      </c>
      <c r="E25" s="173" t="s">
        <v>142</v>
      </c>
      <c r="F25" s="209" t="s">
        <v>748</v>
      </c>
      <c r="G25" s="174">
        <v>2019</v>
      </c>
      <c r="H25" s="227">
        <v>2024</v>
      </c>
      <c r="I25" s="228" t="s">
        <v>749</v>
      </c>
      <c r="J25" s="213">
        <v>2673208</v>
      </c>
      <c r="K25" s="213">
        <v>1173209</v>
      </c>
      <c r="L25" s="214" t="s">
        <v>693</v>
      </c>
      <c r="M25" s="194"/>
    </row>
    <row r="26" spans="1:13" ht="45" x14ac:dyDescent="0.25">
      <c r="A26" s="226" t="s">
        <v>750</v>
      </c>
      <c r="B26" s="206"/>
      <c r="C26" s="207" t="s">
        <v>690</v>
      </c>
      <c r="D26" s="177" t="s">
        <v>691</v>
      </c>
      <c r="E26" s="173" t="s">
        <v>142</v>
      </c>
      <c r="F26" s="209" t="s">
        <v>751</v>
      </c>
      <c r="G26" s="174">
        <v>2020</v>
      </c>
      <c r="H26" s="227">
        <v>2023</v>
      </c>
      <c r="I26" s="228" t="s">
        <v>749</v>
      </c>
      <c r="J26" s="213">
        <v>489915</v>
      </c>
      <c r="K26" s="213">
        <v>305777</v>
      </c>
      <c r="L26" s="214" t="s">
        <v>693</v>
      </c>
      <c r="M26" s="194"/>
    </row>
    <row r="27" spans="1:13" ht="45" x14ac:dyDescent="0.25">
      <c r="A27" s="205" t="s">
        <v>752</v>
      </c>
      <c r="B27" s="206"/>
      <c r="C27" s="207" t="s">
        <v>690</v>
      </c>
      <c r="D27" s="177" t="s">
        <v>691</v>
      </c>
      <c r="E27" s="173" t="s">
        <v>142</v>
      </c>
      <c r="F27" s="209" t="s">
        <v>753</v>
      </c>
      <c r="G27" s="210">
        <v>2020</v>
      </c>
      <c r="H27" s="211">
        <v>2023</v>
      </c>
      <c r="I27" s="223" t="s">
        <v>272</v>
      </c>
      <c r="J27" s="213">
        <v>1000000</v>
      </c>
      <c r="K27" s="213">
        <v>500000</v>
      </c>
      <c r="L27" s="214" t="s">
        <v>693</v>
      </c>
      <c r="M27" s="194"/>
    </row>
    <row r="28" spans="1:13" ht="45" x14ac:dyDescent="0.25">
      <c r="A28" s="205" t="s">
        <v>754</v>
      </c>
      <c r="B28" s="206"/>
      <c r="C28" s="207" t="s">
        <v>690</v>
      </c>
      <c r="D28" s="177" t="s">
        <v>691</v>
      </c>
      <c r="E28" s="173" t="s">
        <v>142</v>
      </c>
      <c r="F28" s="209" t="s">
        <v>715</v>
      </c>
      <c r="G28" s="174">
        <v>2020</v>
      </c>
      <c r="H28" s="216">
        <v>2022</v>
      </c>
      <c r="I28" s="210" t="s">
        <v>107</v>
      </c>
      <c r="J28" s="213">
        <v>988680</v>
      </c>
      <c r="K28" s="213">
        <v>494340</v>
      </c>
      <c r="L28" s="214" t="s">
        <v>693</v>
      </c>
      <c r="M28" s="194"/>
    </row>
    <row r="29" spans="1:13" ht="45" x14ac:dyDescent="0.25">
      <c r="A29" s="205" t="s">
        <v>755</v>
      </c>
      <c r="B29" s="206"/>
      <c r="C29" s="207" t="s">
        <v>731</v>
      </c>
      <c r="D29" s="177" t="s">
        <v>691</v>
      </c>
      <c r="E29" s="173" t="s">
        <v>142</v>
      </c>
      <c r="F29" s="229" t="s">
        <v>756</v>
      </c>
      <c r="G29" s="174">
        <v>2020</v>
      </c>
      <c r="H29" s="216">
        <v>2024</v>
      </c>
      <c r="I29" s="216" t="s">
        <v>700</v>
      </c>
      <c r="J29" s="213">
        <v>3545870</v>
      </c>
      <c r="K29" s="213">
        <v>886468</v>
      </c>
      <c r="L29" s="214" t="s">
        <v>693</v>
      </c>
      <c r="M29" s="194"/>
    </row>
    <row r="30" spans="1:13" ht="45" x14ac:dyDescent="0.25">
      <c r="A30" s="205" t="s">
        <v>757</v>
      </c>
      <c r="B30" s="206"/>
      <c r="C30" s="207" t="s">
        <v>731</v>
      </c>
      <c r="D30" s="177" t="s">
        <v>691</v>
      </c>
      <c r="E30" s="173" t="s">
        <v>142</v>
      </c>
      <c r="F30" s="229" t="s">
        <v>758</v>
      </c>
      <c r="G30" s="174">
        <v>2020</v>
      </c>
      <c r="H30" s="216">
        <v>2024</v>
      </c>
      <c r="I30" s="216" t="s">
        <v>700</v>
      </c>
      <c r="J30" s="213">
        <v>1899419</v>
      </c>
      <c r="K30" s="213">
        <v>443200</v>
      </c>
      <c r="L30" s="214" t="s">
        <v>693</v>
      </c>
      <c r="M30" s="194"/>
    </row>
    <row r="31" spans="1:13" ht="45" x14ac:dyDescent="0.25">
      <c r="A31" s="205" t="s">
        <v>759</v>
      </c>
      <c r="B31" s="206"/>
      <c r="C31" s="207" t="s">
        <v>690</v>
      </c>
      <c r="D31" s="177" t="s">
        <v>691</v>
      </c>
      <c r="E31" s="173" t="s">
        <v>142</v>
      </c>
      <c r="F31" s="194" t="s">
        <v>715</v>
      </c>
      <c r="G31" s="223">
        <v>2021</v>
      </c>
      <c r="H31" s="216">
        <v>2025</v>
      </c>
      <c r="I31" s="216" t="s">
        <v>107</v>
      </c>
      <c r="J31" s="213">
        <v>666958</v>
      </c>
      <c r="K31" s="213">
        <v>441098</v>
      </c>
      <c r="L31" s="214" t="s">
        <v>693</v>
      </c>
      <c r="M31" s="194"/>
    </row>
    <row r="32" spans="1:13" ht="45" x14ac:dyDescent="0.25">
      <c r="A32" s="205" t="s">
        <v>760</v>
      </c>
      <c r="B32" s="206"/>
      <c r="C32" s="207" t="s">
        <v>690</v>
      </c>
      <c r="D32" s="177" t="s">
        <v>691</v>
      </c>
      <c r="E32" s="173" t="s">
        <v>142</v>
      </c>
      <c r="F32" s="194" t="s">
        <v>761</v>
      </c>
      <c r="G32" s="223">
        <v>2021</v>
      </c>
      <c r="H32" s="216">
        <v>2025</v>
      </c>
      <c r="I32" s="216" t="s">
        <v>272</v>
      </c>
      <c r="J32" s="213">
        <v>892852</v>
      </c>
      <c r="K32" s="213">
        <v>499914</v>
      </c>
      <c r="L32" s="214" t="s">
        <v>693</v>
      </c>
      <c r="M32" s="194"/>
    </row>
    <row r="33" spans="1:13" ht="60" x14ac:dyDescent="0.25">
      <c r="A33" s="205" t="s">
        <v>762</v>
      </c>
      <c r="B33" s="206"/>
      <c r="C33" s="207" t="s">
        <v>690</v>
      </c>
      <c r="D33" s="177" t="s">
        <v>691</v>
      </c>
      <c r="E33" s="173" t="s">
        <v>142</v>
      </c>
      <c r="F33" s="194" t="s">
        <v>763</v>
      </c>
      <c r="G33" s="223">
        <v>2021</v>
      </c>
      <c r="H33" s="216">
        <v>2024</v>
      </c>
      <c r="I33" s="216" t="s">
        <v>272</v>
      </c>
      <c r="J33" s="213">
        <v>797610</v>
      </c>
      <c r="K33" s="213">
        <v>498488</v>
      </c>
      <c r="L33" s="214" t="s">
        <v>693</v>
      </c>
      <c r="M33" s="194"/>
    </row>
    <row r="34" spans="1:13" ht="45" x14ac:dyDescent="0.25">
      <c r="A34" s="205" t="s">
        <v>764</v>
      </c>
      <c r="B34" s="206"/>
      <c r="C34" s="207" t="s">
        <v>690</v>
      </c>
      <c r="D34" s="177" t="s">
        <v>691</v>
      </c>
      <c r="E34" s="173" t="s">
        <v>142</v>
      </c>
      <c r="F34" s="194" t="s">
        <v>726</v>
      </c>
      <c r="G34" s="223">
        <v>2021</v>
      </c>
      <c r="H34" s="216">
        <v>2025</v>
      </c>
      <c r="I34" s="216" t="s">
        <v>272</v>
      </c>
      <c r="J34" s="213">
        <v>713432</v>
      </c>
      <c r="K34" s="213">
        <v>499921</v>
      </c>
      <c r="L34" s="214" t="s">
        <v>693</v>
      </c>
      <c r="M34" s="194"/>
    </row>
    <row r="35" spans="1:13" ht="60" x14ac:dyDescent="0.25">
      <c r="A35" s="230" t="s">
        <v>765</v>
      </c>
      <c r="B35" s="231"/>
      <c r="C35" s="207" t="s">
        <v>721</v>
      </c>
      <c r="D35" s="177" t="s">
        <v>691</v>
      </c>
      <c r="E35" s="173" t="s">
        <v>142</v>
      </c>
      <c r="F35" s="194" t="s">
        <v>763</v>
      </c>
      <c r="G35" s="223" t="s">
        <v>766</v>
      </c>
      <c r="H35" s="216">
        <v>2024</v>
      </c>
      <c r="I35" s="216" t="s">
        <v>700</v>
      </c>
      <c r="J35" s="213">
        <v>1447450</v>
      </c>
      <c r="K35" s="213">
        <v>758698</v>
      </c>
      <c r="L35" s="214" t="s">
        <v>693</v>
      </c>
      <c r="M35" s="194"/>
    </row>
    <row r="36" spans="1:13" ht="45" x14ac:dyDescent="0.25">
      <c r="A36" s="230" t="s">
        <v>767</v>
      </c>
      <c r="B36" s="231"/>
      <c r="C36" s="207" t="s">
        <v>690</v>
      </c>
      <c r="D36" s="177" t="s">
        <v>691</v>
      </c>
      <c r="E36" s="173" t="s">
        <v>142</v>
      </c>
      <c r="F36" s="194" t="s">
        <v>763</v>
      </c>
      <c r="G36" s="223" t="s">
        <v>766</v>
      </c>
      <c r="H36" s="216">
        <v>2025</v>
      </c>
      <c r="I36" s="216" t="s">
        <v>749</v>
      </c>
      <c r="J36" s="213">
        <v>1742699</v>
      </c>
      <c r="K36" s="213">
        <v>1251123</v>
      </c>
      <c r="L36" s="214" t="s">
        <v>693</v>
      </c>
      <c r="M36" s="194"/>
    </row>
    <row r="37" spans="1:13" ht="45" x14ac:dyDescent="0.25">
      <c r="A37" s="230" t="s">
        <v>768</v>
      </c>
      <c r="B37" s="231"/>
      <c r="C37" s="207" t="s">
        <v>731</v>
      </c>
      <c r="D37" s="177" t="s">
        <v>691</v>
      </c>
      <c r="E37" s="173" t="s">
        <v>142</v>
      </c>
      <c r="F37" s="194" t="s">
        <v>769</v>
      </c>
      <c r="G37" s="223">
        <v>2021</v>
      </c>
      <c r="H37" s="216">
        <v>2025</v>
      </c>
      <c r="I37" s="216" t="s">
        <v>770</v>
      </c>
      <c r="J37" s="213">
        <v>8638999</v>
      </c>
      <c r="K37" s="213">
        <v>3631424</v>
      </c>
      <c r="L37" s="214" t="s">
        <v>693</v>
      </c>
      <c r="M37" s="194"/>
    </row>
    <row r="38" spans="1:13" ht="45" x14ac:dyDescent="0.25">
      <c r="A38" s="230" t="s">
        <v>771</v>
      </c>
      <c r="B38" s="231"/>
      <c r="C38" s="207" t="s">
        <v>708</v>
      </c>
      <c r="D38" s="177" t="s">
        <v>691</v>
      </c>
      <c r="E38" s="173" t="s">
        <v>142</v>
      </c>
      <c r="F38" s="194" t="s">
        <v>763</v>
      </c>
      <c r="G38" s="223" t="s">
        <v>772</v>
      </c>
      <c r="H38" s="216">
        <v>2026</v>
      </c>
      <c r="I38" s="216" t="s">
        <v>706</v>
      </c>
      <c r="J38" s="213">
        <v>6257200</v>
      </c>
      <c r="K38" s="213">
        <v>3657750</v>
      </c>
      <c r="L38" s="214" t="s">
        <v>693</v>
      </c>
      <c r="M38" s="194"/>
    </row>
    <row r="39" spans="1:13" ht="45" x14ac:dyDescent="0.25">
      <c r="A39" s="230" t="s">
        <v>773</v>
      </c>
      <c r="B39" s="231"/>
      <c r="C39" s="207" t="s">
        <v>731</v>
      </c>
      <c r="D39" s="177" t="s">
        <v>691</v>
      </c>
      <c r="E39" s="173" t="s">
        <v>142</v>
      </c>
      <c r="F39" s="194" t="s">
        <v>774</v>
      </c>
      <c r="G39" s="223" t="s">
        <v>772</v>
      </c>
      <c r="H39" s="216">
        <v>2025</v>
      </c>
      <c r="I39" s="216" t="s">
        <v>770</v>
      </c>
      <c r="J39" s="213">
        <v>13790000</v>
      </c>
      <c r="K39" s="213">
        <v>3000000</v>
      </c>
      <c r="L39" s="214" t="s">
        <v>693</v>
      </c>
      <c r="M39" s="194"/>
    </row>
    <row r="40" spans="1:13" ht="45" x14ac:dyDescent="0.25">
      <c r="A40" s="230" t="s">
        <v>775</v>
      </c>
      <c r="B40" s="231"/>
      <c r="C40" s="207" t="s">
        <v>731</v>
      </c>
      <c r="D40" s="177" t="s">
        <v>691</v>
      </c>
      <c r="E40" s="173" t="s">
        <v>142</v>
      </c>
      <c r="F40" s="194" t="s">
        <v>776</v>
      </c>
      <c r="G40" s="223">
        <v>2022</v>
      </c>
      <c r="H40" s="216">
        <v>2026</v>
      </c>
      <c r="I40" s="216" t="s">
        <v>292</v>
      </c>
      <c r="J40" s="213">
        <v>10227194</v>
      </c>
      <c r="K40" s="213">
        <v>3968952</v>
      </c>
      <c r="L40" s="214" t="s">
        <v>693</v>
      </c>
      <c r="M40" s="194"/>
    </row>
    <row r="41" spans="1:13" ht="45" x14ac:dyDescent="0.25">
      <c r="A41" s="230" t="s">
        <v>777</v>
      </c>
      <c r="B41" s="231"/>
      <c r="C41" s="207" t="s">
        <v>731</v>
      </c>
      <c r="D41" s="177" t="s">
        <v>691</v>
      </c>
      <c r="E41" s="173" t="s">
        <v>142</v>
      </c>
      <c r="F41" s="194" t="s">
        <v>778</v>
      </c>
      <c r="G41" s="223">
        <v>2022</v>
      </c>
      <c r="H41" s="216">
        <v>2025</v>
      </c>
      <c r="I41" s="216" t="s">
        <v>779</v>
      </c>
      <c r="J41" s="213">
        <v>19669621</v>
      </c>
      <c r="K41" s="213">
        <v>11801753</v>
      </c>
      <c r="L41" s="214" t="s">
        <v>693</v>
      </c>
      <c r="M41" s="194"/>
    </row>
    <row r="42" spans="1:13" ht="45" x14ac:dyDescent="0.25">
      <c r="A42" s="230" t="s">
        <v>780</v>
      </c>
      <c r="B42" s="231"/>
      <c r="C42" s="207" t="s">
        <v>731</v>
      </c>
      <c r="D42" s="177" t="s">
        <v>691</v>
      </c>
      <c r="E42" s="173" t="s">
        <v>142</v>
      </c>
      <c r="F42" s="194" t="s">
        <v>781</v>
      </c>
      <c r="G42" s="223">
        <v>2022</v>
      </c>
      <c r="H42" s="216">
        <v>2025</v>
      </c>
      <c r="I42" s="216" t="s">
        <v>779</v>
      </c>
      <c r="J42" s="213">
        <v>14593594</v>
      </c>
      <c r="K42" s="213">
        <v>6567117</v>
      </c>
      <c r="L42" s="214" t="s">
        <v>693</v>
      </c>
      <c r="M42" s="194"/>
    </row>
    <row r="43" spans="1:13" ht="45" x14ac:dyDescent="0.25">
      <c r="A43" s="230" t="s">
        <v>782</v>
      </c>
      <c r="B43" s="231"/>
      <c r="C43" s="207" t="s">
        <v>731</v>
      </c>
      <c r="D43" s="177" t="s">
        <v>691</v>
      </c>
      <c r="E43" s="173" t="s">
        <v>142</v>
      </c>
      <c r="F43" s="194" t="s">
        <v>783</v>
      </c>
      <c r="G43" s="223">
        <v>2022</v>
      </c>
      <c r="H43" s="216">
        <v>2026</v>
      </c>
      <c r="I43" s="216" t="s">
        <v>770</v>
      </c>
      <c r="J43" s="213"/>
      <c r="K43" s="213"/>
      <c r="L43" s="214" t="s">
        <v>784</v>
      </c>
      <c r="M43" s="194"/>
    </row>
    <row r="44" spans="1:13" ht="45" x14ac:dyDescent="0.25">
      <c r="A44" s="230" t="s">
        <v>785</v>
      </c>
      <c r="B44" s="231"/>
      <c r="C44" s="207" t="s">
        <v>731</v>
      </c>
      <c r="D44" s="177" t="s">
        <v>691</v>
      </c>
      <c r="E44" s="173" t="s">
        <v>142</v>
      </c>
      <c r="F44" s="194" t="s">
        <v>786</v>
      </c>
      <c r="G44" s="223">
        <v>2022</v>
      </c>
      <c r="H44" s="216">
        <v>2025</v>
      </c>
      <c r="I44" s="216" t="s">
        <v>779</v>
      </c>
      <c r="J44" s="213"/>
      <c r="K44" s="213"/>
      <c r="L44" s="214" t="s">
        <v>784</v>
      </c>
      <c r="M44" s="194"/>
    </row>
    <row r="45" spans="1:13" ht="45" x14ac:dyDescent="0.25">
      <c r="A45" s="230" t="s">
        <v>787</v>
      </c>
      <c r="B45" s="231"/>
      <c r="C45" s="207" t="s">
        <v>731</v>
      </c>
      <c r="D45" s="177" t="s">
        <v>691</v>
      </c>
      <c r="E45" s="173" t="s">
        <v>142</v>
      </c>
      <c r="F45" s="194" t="s">
        <v>788</v>
      </c>
      <c r="G45" s="223">
        <v>2022</v>
      </c>
      <c r="H45" s="216">
        <v>2026</v>
      </c>
      <c r="I45" s="216" t="s">
        <v>779</v>
      </c>
      <c r="J45" s="213"/>
      <c r="K45" s="213"/>
      <c r="L45" s="214" t="s">
        <v>784</v>
      </c>
      <c r="M45" s="194"/>
    </row>
    <row r="46" spans="1:13" ht="45" x14ac:dyDescent="0.25">
      <c r="A46" s="230" t="s">
        <v>789</v>
      </c>
      <c r="B46" s="231"/>
      <c r="C46" s="207" t="s">
        <v>731</v>
      </c>
      <c r="D46" s="177" t="s">
        <v>691</v>
      </c>
      <c r="E46" s="173" t="s">
        <v>142</v>
      </c>
      <c r="F46" s="194" t="s">
        <v>790</v>
      </c>
      <c r="G46" s="223">
        <v>2022</v>
      </c>
      <c r="H46" s="216">
        <v>2026</v>
      </c>
      <c r="I46" s="216" t="s">
        <v>779</v>
      </c>
      <c r="J46" s="213"/>
      <c r="K46" s="213"/>
      <c r="L46" s="214" t="s">
        <v>784</v>
      </c>
      <c r="M46" s="194"/>
    </row>
    <row r="47" spans="1:13" ht="45" x14ac:dyDescent="0.25">
      <c r="A47" s="230" t="s">
        <v>791</v>
      </c>
      <c r="B47" s="231"/>
      <c r="C47" s="207" t="s">
        <v>731</v>
      </c>
      <c r="D47" s="177" t="s">
        <v>691</v>
      </c>
      <c r="E47" s="173" t="s">
        <v>142</v>
      </c>
      <c r="F47" s="194" t="s">
        <v>792</v>
      </c>
      <c r="G47" s="223" t="s">
        <v>793</v>
      </c>
      <c r="H47" s="216">
        <v>2026</v>
      </c>
      <c r="I47" s="216" t="s">
        <v>779</v>
      </c>
      <c r="J47" s="213"/>
      <c r="K47" s="213"/>
      <c r="L47" s="214" t="s">
        <v>784</v>
      </c>
      <c r="M47" s="194"/>
    </row>
    <row r="48" spans="1:13" ht="45" x14ac:dyDescent="0.25">
      <c r="A48" s="230" t="s">
        <v>794</v>
      </c>
      <c r="B48" s="231"/>
      <c r="C48" s="207" t="s">
        <v>731</v>
      </c>
      <c r="D48" s="177" t="s">
        <v>691</v>
      </c>
      <c r="E48" s="173" t="s">
        <v>142</v>
      </c>
      <c r="F48" s="194" t="s">
        <v>790</v>
      </c>
      <c r="G48" s="223">
        <v>2022</v>
      </c>
      <c r="H48" s="216">
        <v>2027</v>
      </c>
      <c r="I48" s="216" t="s">
        <v>779</v>
      </c>
      <c r="J48" s="213"/>
      <c r="K48" s="213"/>
      <c r="L48" s="214" t="s">
        <v>784</v>
      </c>
      <c r="M48" s="194"/>
    </row>
    <row r="49" spans="1:13" ht="45" x14ac:dyDescent="0.25">
      <c r="A49" s="230" t="s">
        <v>795</v>
      </c>
      <c r="B49" s="231"/>
      <c r="C49" s="207" t="s">
        <v>731</v>
      </c>
      <c r="D49" s="177" t="s">
        <v>691</v>
      </c>
      <c r="E49" s="173" t="s">
        <v>142</v>
      </c>
      <c r="F49" s="232" t="s">
        <v>796</v>
      </c>
      <c r="G49" s="223">
        <v>2022</v>
      </c>
      <c r="H49" s="216">
        <v>2026</v>
      </c>
      <c r="I49" s="216" t="s">
        <v>779</v>
      </c>
      <c r="J49" s="213"/>
      <c r="K49" s="213"/>
      <c r="L49" s="214" t="s">
        <v>784</v>
      </c>
      <c r="M49" s="194"/>
    </row>
    <row r="50" spans="1:13" ht="45" x14ac:dyDescent="0.25">
      <c r="A50" s="230" t="s">
        <v>797</v>
      </c>
      <c r="B50" s="231"/>
      <c r="C50" s="207" t="s">
        <v>731</v>
      </c>
      <c r="D50" s="177" t="s">
        <v>691</v>
      </c>
      <c r="E50" s="173" t="s">
        <v>142</v>
      </c>
      <c r="F50" s="232" t="s">
        <v>798</v>
      </c>
      <c r="G50" s="223">
        <v>2023</v>
      </c>
      <c r="H50" s="216">
        <v>2025</v>
      </c>
      <c r="I50" s="216" t="s">
        <v>779</v>
      </c>
      <c r="J50" s="213"/>
      <c r="K50" s="213"/>
      <c r="L50" s="214" t="s">
        <v>784</v>
      </c>
      <c r="M50" s="194"/>
    </row>
    <row r="51" spans="1:13" x14ac:dyDescent="0.25">
      <c r="A51" s="214"/>
      <c r="B51" s="206"/>
      <c r="C51" s="201"/>
      <c r="D51" s="177"/>
      <c r="E51" s="173"/>
      <c r="F51" s="173"/>
      <c r="G51" s="174"/>
      <c r="H51" s="174"/>
      <c r="I51" s="216"/>
      <c r="J51" s="174"/>
      <c r="K51" s="179"/>
      <c r="L51" s="206"/>
      <c r="M51" s="194"/>
    </row>
    <row r="52" spans="1:13" x14ac:dyDescent="0.25">
      <c r="A52" s="230"/>
      <c r="B52" s="231"/>
      <c r="C52" s="231"/>
      <c r="D52" s="194"/>
      <c r="E52" s="194"/>
      <c r="F52" s="194"/>
      <c r="G52" s="231"/>
      <c r="H52" s="194"/>
      <c r="I52" s="233"/>
      <c r="J52" s="215"/>
      <c r="K52" s="180"/>
      <c r="L52" s="231"/>
      <c r="M52" s="194"/>
    </row>
    <row r="53" spans="1:13" x14ac:dyDescent="0.25">
      <c r="A53" s="230"/>
      <c r="B53" s="231"/>
      <c r="C53" s="174"/>
      <c r="D53" s="194"/>
      <c r="E53" s="194"/>
      <c r="F53" s="194"/>
      <c r="G53" s="231"/>
      <c r="H53" s="234"/>
      <c r="I53" s="233"/>
      <c r="J53" s="215"/>
      <c r="K53" s="235"/>
      <c r="L53" s="202"/>
      <c r="M53" s="194"/>
    </row>
    <row r="54" spans="1:13" x14ac:dyDescent="0.25">
      <c r="A54" s="230"/>
      <c r="B54" s="231"/>
      <c r="C54" s="174"/>
      <c r="D54" s="194"/>
      <c r="E54" s="194"/>
      <c r="F54" s="194"/>
      <c r="G54" s="231"/>
      <c r="H54" s="194"/>
      <c r="I54" s="194"/>
      <c r="J54" s="194"/>
      <c r="K54" s="236"/>
      <c r="L54" s="236"/>
      <c r="M54" s="194"/>
    </row>
    <row r="55" spans="1:13" x14ac:dyDescent="0.25">
      <c r="A55" s="230"/>
      <c r="B55" s="231"/>
      <c r="C55" s="174"/>
      <c r="D55" s="237"/>
      <c r="E55" s="194"/>
      <c r="F55" s="194"/>
      <c r="G55" s="231"/>
      <c r="H55" s="194"/>
      <c r="I55" s="194"/>
      <c r="J55" s="194"/>
      <c r="K55" s="231"/>
      <c r="L55" s="231"/>
      <c r="M55" s="194"/>
    </row>
    <row r="56" spans="1:13" x14ac:dyDescent="0.25">
      <c r="A56" s="230"/>
      <c r="B56" s="231"/>
      <c r="C56" s="174"/>
      <c r="D56" s="237"/>
      <c r="E56" s="194"/>
      <c r="F56" s="194"/>
      <c r="G56" s="231"/>
      <c r="H56" s="194"/>
      <c r="I56" s="194"/>
      <c r="J56" s="194"/>
      <c r="K56" s="231"/>
      <c r="L56" s="231"/>
      <c r="M56" s="194"/>
    </row>
    <row r="57" spans="1:13" x14ac:dyDescent="0.25">
      <c r="A57" s="230"/>
      <c r="B57" s="231"/>
      <c r="C57" s="174"/>
      <c r="D57" s="237"/>
      <c r="E57" s="194"/>
      <c r="F57" s="194"/>
      <c r="G57" s="231"/>
      <c r="H57" s="194"/>
      <c r="I57" s="194"/>
      <c r="J57" s="194"/>
      <c r="K57" s="231"/>
      <c r="L57" s="231"/>
      <c r="M57" s="194"/>
    </row>
    <row r="58" spans="1:13" x14ac:dyDescent="0.25">
      <c r="A58" s="13"/>
      <c r="B58" s="10"/>
      <c r="C58" s="18"/>
      <c r="D58" s="54"/>
      <c r="G58" s="10"/>
      <c r="L58" s="10"/>
    </row>
    <row r="59" spans="1:13" x14ac:dyDescent="0.25">
      <c r="A59" s="13"/>
      <c r="B59" s="10"/>
      <c r="C59" s="18"/>
      <c r="D59" s="54"/>
      <c r="G59" s="10"/>
      <c r="K59" s="10"/>
      <c r="L59" s="10"/>
    </row>
    <row r="60" spans="1:13" x14ac:dyDescent="0.25">
      <c r="A60" s="13"/>
      <c r="B60" s="10"/>
      <c r="C60" s="18"/>
      <c r="D60" s="54"/>
      <c r="G60" s="10"/>
      <c r="K60" s="10"/>
      <c r="L60" s="10"/>
    </row>
    <row r="61" spans="1:13" x14ac:dyDescent="0.25">
      <c r="A61" s="13"/>
      <c r="B61" s="10"/>
      <c r="C61" s="18"/>
      <c r="D61" s="54"/>
      <c r="G61" s="10"/>
      <c r="K61" s="10"/>
      <c r="L61" s="10"/>
    </row>
    <row r="62" spans="1:13" x14ac:dyDescent="0.25">
      <c r="A62" s="13"/>
      <c r="B62" s="10"/>
      <c r="C62" s="18"/>
      <c r="D62" s="54"/>
      <c r="G62" s="10"/>
      <c r="K62" s="10"/>
      <c r="L62" s="10"/>
    </row>
    <row r="63" spans="1:13" x14ac:dyDescent="0.25">
      <c r="A63" s="13"/>
      <c r="B63" s="10"/>
      <c r="C63" s="18"/>
      <c r="D63" s="54"/>
      <c r="G63" s="10"/>
      <c r="K63" s="10"/>
      <c r="L63" s="10"/>
    </row>
    <row r="64" spans="1:13" x14ac:dyDescent="0.25">
      <c r="A64" s="13"/>
      <c r="B64" s="10"/>
      <c r="C64" s="18"/>
      <c r="D64" s="54"/>
      <c r="G64" s="10"/>
      <c r="K64" s="10"/>
      <c r="L64" s="10"/>
    </row>
    <row r="65" spans="1:12" x14ac:dyDescent="0.25">
      <c r="A65" s="13"/>
      <c r="B65" s="10"/>
      <c r="C65" s="18"/>
      <c r="D65" s="54"/>
      <c r="G65" s="10"/>
      <c r="K65" s="10"/>
      <c r="L65" s="10"/>
    </row>
    <row r="66" spans="1:12" x14ac:dyDescent="0.25">
      <c r="A66" s="13"/>
      <c r="B66" s="10"/>
      <c r="C66" s="10"/>
      <c r="G66" s="10"/>
      <c r="K66" s="10"/>
      <c r="L66" s="10"/>
    </row>
    <row r="67" spans="1:12" x14ac:dyDescent="0.25">
      <c r="A67" s="13"/>
      <c r="B67" s="10"/>
      <c r="C67" s="10"/>
      <c r="G67" s="10"/>
      <c r="K67" s="10"/>
      <c r="L67" s="10"/>
    </row>
    <row r="68" spans="1:12" x14ac:dyDescent="0.25">
      <c r="A68" s="13"/>
      <c r="B68" s="10"/>
      <c r="C68" s="10"/>
      <c r="G68" s="10"/>
      <c r="K68" s="10"/>
      <c r="L68" s="10"/>
    </row>
    <row r="69" spans="1:12" x14ac:dyDescent="0.25">
      <c r="A69" s="13"/>
      <c r="B69" s="10"/>
      <c r="C69" s="10"/>
      <c r="G69" s="10"/>
      <c r="K69" s="10"/>
      <c r="L69" s="10"/>
    </row>
    <row r="70" spans="1:12" x14ac:dyDescent="0.25">
      <c r="A70" s="13"/>
      <c r="B70" s="10"/>
      <c r="C70" s="10"/>
      <c r="G70" s="10"/>
      <c r="K70" s="10"/>
      <c r="L70" s="10"/>
    </row>
    <row r="71" spans="1:12" x14ac:dyDescent="0.25">
      <c r="A71" s="13"/>
      <c r="B71" s="10"/>
      <c r="C71" s="10"/>
      <c r="G71" s="10"/>
      <c r="K71" s="10"/>
      <c r="L71" s="10"/>
    </row>
    <row r="72" spans="1:12" x14ac:dyDescent="0.25">
      <c r="A72" s="13"/>
      <c r="B72" s="10"/>
      <c r="C72" s="10"/>
      <c r="G72" s="10"/>
      <c r="K72" s="10"/>
      <c r="L72" s="10"/>
    </row>
    <row r="73" spans="1:12" x14ac:dyDescent="0.25">
      <c r="A73" s="13"/>
      <c r="B73" s="10"/>
      <c r="C73" s="10"/>
      <c r="G73" s="10"/>
      <c r="K73" s="10"/>
      <c r="L73" s="10"/>
    </row>
    <row r="74" spans="1:12" x14ac:dyDescent="0.25">
      <c r="A74" s="13"/>
      <c r="B74" s="10"/>
      <c r="C74" s="10"/>
      <c r="G74" s="10"/>
      <c r="K74" s="10"/>
      <c r="L74" s="10"/>
    </row>
    <row r="75" spans="1:12" x14ac:dyDescent="0.25">
      <c r="A75" s="13"/>
      <c r="B75" s="10"/>
      <c r="C75" s="10"/>
      <c r="G75" s="10"/>
      <c r="K75" s="10"/>
      <c r="L75" s="10"/>
    </row>
    <row r="76" spans="1:12" x14ac:dyDescent="0.25">
      <c r="A76" s="13"/>
      <c r="B76" s="10"/>
      <c r="C76" s="10"/>
      <c r="G76" s="10"/>
      <c r="K76" s="10"/>
      <c r="L76" s="10"/>
    </row>
    <row r="77" spans="1:12" x14ac:dyDescent="0.25">
      <c r="A77" s="13"/>
      <c r="B77" s="10"/>
      <c r="C77" s="10"/>
      <c r="G77" s="10"/>
      <c r="K77" s="10"/>
      <c r="L77" s="10"/>
    </row>
    <row r="78" spans="1:12" x14ac:dyDescent="0.25">
      <c r="A78" s="13"/>
      <c r="B78" s="10"/>
      <c r="C78" s="10"/>
      <c r="G78" s="10"/>
      <c r="K78" s="10"/>
      <c r="L78" s="10"/>
    </row>
    <row r="79" spans="1:12" x14ac:dyDescent="0.25">
      <c r="A79" s="13"/>
      <c r="B79" s="10"/>
      <c r="C79" s="10"/>
      <c r="G79" s="10"/>
      <c r="K79" s="10"/>
      <c r="L79" s="10"/>
    </row>
    <row r="80" spans="1:12" x14ac:dyDescent="0.25">
      <c r="A80" s="13"/>
      <c r="B80" s="10"/>
      <c r="C80" s="10"/>
      <c r="G80" s="10"/>
      <c r="K80" s="10"/>
      <c r="L80" s="10"/>
    </row>
    <row r="81" spans="1:12" x14ac:dyDescent="0.25">
      <c r="A81" s="13"/>
      <c r="B81" s="10"/>
      <c r="C81" s="10"/>
      <c r="G81" s="10"/>
      <c r="K81" s="10"/>
      <c r="L81" s="10"/>
    </row>
    <row r="82" spans="1:12" x14ac:dyDescent="0.25">
      <c r="A82" s="13"/>
      <c r="B82" s="10"/>
      <c r="C82" s="10"/>
      <c r="G82" s="10"/>
      <c r="K82" s="10"/>
      <c r="L82" s="10"/>
    </row>
    <row r="83" spans="1:12" x14ac:dyDescent="0.25">
      <c r="A83" s="13"/>
      <c r="B83" s="10"/>
      <c r="C83" s="10"/>
      <c r="G83" s="10"/>
      <c r="K83" s="10"/>
      <c r="L83" s="10"/>
    </row>
    <row r="84" spans="1:12" x14ac:dyDescent="0.25">
      <c r="A84" s="13"/>
      <c r="B84" s="10"/>
      <c r="C84" s="10"/>
      <c r="G84" s="10"/>
      <c r="K84" s="10"/>
      <c r="L84" s="10"/>
    </row>
    <row r="85" spans="1:12" x14ac:dyDescent="0.25">
      <c r="A85" s="13"/>
      <c r="B85" s="10"/>
      <c r="C85" s="10"/>
      <c r="G85" s="10"/>
      <c r="K85" s="10"/>
      <c r="L85" s="10"/>
    </row>
    <row r="86" spans="1:12" x14ac:dyDescent="0.25">
      <c r="A86" s="13"/>
      <c r="B86" s="10"/>
      <c r="C86" s="10"/>
      <c r="G86" s="10"/>
      <c r="K86" s="10"/>
      <c r="L86" s="10"/>
    </row>
    <row r="87" spans="1:12" x14ac:dyDescent="0.25">
      <c r="A87" s="13"/>
      <c r="B87" s="10"/>
      <c r="C87" s="10"/>
      <c r="G87" s="10"/>
      <c r="K87" s="10"/>
      <c r="L87" s="10"/>
    </row>
    <row r="88" spans="1:12" x14ac:dyDescent="0.25">
      <c r="A88" s="13"/>
      <c r="B88" s="10"/>
      <c r="C88" s="10"/>
      <c r="G88" s="10"/>
      <c r="K88" s="10"/>
      <c r="L88" s="10"/>
    </row>
    <row r="89" spans="1:12" x14ac:dyDescent="0.25">
      <c r="A89" s="13"/>
      <c r="B89" s="10"/>
      <c r="C89" s="10"/>
      <c r="G89" s="10"/>
      <c r="K89" s="10"/>
      <c r="L89" s="10"/>
    </row>
    <row r="90" spans="1:12" x14ac:dyDescent="0.25">
      <c r="A90" s="13"/>
      <c r="B90" s="10"/>
      <c r="C90" s="10"/>
      <c r="G90" s="10"/>
      <c r="K90" s="10"/>
      <c r="L90" s="10"/>
    </row>
    <row r="91" spans="1:12" x14ac:dyDescent="0.25">
      <c r="A91" s="13"/>
      <c r="B91" s="10"/>
      <c r="C91" s="10"/>
      <c r="G91" s="10"/>
      <c r="K91" s="10"/>
      <c r="L91" s="10"/>
    </row>
    <row r="92" spans="1:12" x14ac:dyDescent="0.25">
      <c r="A92" s="13"/>
      <c r="B92" s="10"/>
      <c r="C92" s="10"/>
      <c r="G92" s="10"/>
      <c r="K92" s="10"/>
      <c r="L92" s="10"/>
    </row>
    <row r="93" spans="1:12" x14ac:dyDescent="0.25">
      <c r="A93" s="13"/>
      <c r="B93" s="10"/>
      <c r="C93" s="10"/>
      <c r="G93" s="10"/>
      <c r="K93" s="10"/>
      <c r="L93" s="10"/>
    </row>
    <row r="94" spans="1:12" x14ac:dyDescent="0.25">
      <c r="A94" s="13"/>
      <c r="B94" s="10"/>
      <c r="C94" s="10"/>
      <c r="G94" s="10"/>
      <c r="K94" s="10"/>
      <c r="L94" s="10"/>
    </row>
    <row r="95" spans="1:12" x14ac:dyDescent="0.25">
      <c r="A95" s="13"/>
      <c r="B95" s="10"/>
      <c r="C95" s="10"/>
      <c r="G95" s="10"/>
      <c r="K95" s="10"/>
      <c r="L95" s="10"/>
    </row>
    <row r="96" spans="1:12" x14ac:dyDescent="0.25">
      <c r="A96" s="13"/>
      <c r="B96" s="10"/>
      <c r="C96" s="10"/>
      <c r="G96" s="10"/>
      <c r="K96" s="10"/>
      <c r="L96" s="10"/>
    </row>
    <row r="97" spans="1:12" x14ac:dyDescent="0.25">
      <c r="A97" s="13"/>
      <c r="B97" s="10"/>
      <c r="C97" s="10"/>
      <c r="G97" s="10"/>
      <c r="K97" s="10"/>
      <c r="L97" s="10"/>
    </row>
    <row r="98" spans="1:12" x14ac:dyDescent="0.25">
      <c r="A98" s="13"/>
      <c r="B98" s="10"/>
      <c r="C98" s="10"/>
      <c r="G98" s="10"/>
      <c r="K98" s="10"/>
      <c r="L98" s="10"/>
    </row>
    <row r="99" spans="1:12" x14ac:dyDescent="0.25">
      <c r="A99" s="13"/>
      <c r="B99" s="10"/>
      <c r="C99" s="10"/>
      <c r="G99" s="10"/>
      <c r="K99" s="10"/>
      <c r="L99" s="10"/>
    </row>
    <row r="100" spans="1:12" x14ac:dyDescent="0.25">
      <c r="A100" s="13"/>
      <c r="B100" s="10"/>
      <c r="C100" s="10"/>
      <c r="G100" s="10"/>
      <c r="K100" s="10"/>
      <c r="L100" s="10"/>
    </row>
    <row r="101" spans="1:12" x14ac:dyDescent="0.25">
      <c r="A101" s="13"/>
      <c r="B101" s="10"/>
      <c r="C101" s="10"/>
      <c r="G101" s="10"/>
      <c r="K101" s="10"/>
      <c r="L101" s="10"/>
    </row>
    <row r="102" spans="1:12" x14ac:dyDescent="0.25">
      <c r="A102" s="13"/>
      <c r="B102" s="10"/>
      <c r="C102" s="10"/>
      <c r="G102" s="10"/>
      <c r="K102" s="10"/>
      <c r="L102" s="10"/>
    </row>
    <row r="103" spans="1:12" x14ac:dyDescent="0.25">
      <c r="A103" s="13"/>
      <c r="B103" s="10"/>
      <c r="C103" s="10"/>
      <c r="G103" s="10"/>
      <c r="K103" s="10"/>
      <c r="L103" s="10"/>
    </row>
    <row r="104" spans="1:12" x14ac:dyDescent="0.25">
      <c r="A104" s="13"/>
      <c r="B104" s="10"/>
      <c r="C104" s="10"/>
      <c r="G104" s="10"/>
      <c r="K104" s="10"/>
      <c r="L104" s="10"/>
    </row>
    <row r="105" spans="1:12" x14ac:dyDescent="0.25">
      <c r="A105" s="13"/>
      <c r="B105" s="10"/>
      <c r="C105" s="10"/>
      <c r="G105" s="10"/>
      <c r="K105" s="10"/>
      <c r="L105" s="10"/>
    </row>
    <row r="106" spans="1:12" x14ac:dyDescent="0.25">
      <c r="A106" s="13"/>
      <c r="B106" s="10"/>
      <c r="C106" s="10"/>
      <c r="G106" s="10"/>
      <c r="K106" s="10"/>
      <c r="L106" s="10"/>
    </row>
    <row r="107" spans="1:12" x14ac:dyDescent="0.25">
      <c r="A107" s="13"/>
      <c r="B107" s="10"/>
      <c r="C107" s="10"/>
      <c r="G107" s="10"/>
      <c r="K107" s="10"/>
      <c r="L107" s="10"/>
    </row>
    <row r="108" spans="1:12" x14ac:dyDescent="0.25">
      <c r="A108" s="13"/>
      <c r="B108" s="10"/>
      <c r="C108" s="10"/>
      <c r="G108" s="10"/>
      <c r="K108" s="10"/>
      <c r="L108" s="10"/>
    </row>
    <row r="109" spans="1:12" x14ac:dyDescent="0.25">
      <c r="A109" s="13"/>
      <c r="B109" s="10"/>
      <c r="C109" s="10"/>
      <c r="G109" s="10"/>
      <c r="K109" s="10"/>
      <c r="L109" s="10"/>
    </row>
    <row r="110" spans="1:12" x14ac:dyDescent="0.25">
      <c r="A110" s="13"/>
      <c r="B110" s="10"/>
      <c r="C110" s="10"/>
      <c r="G110" s="10"/>
      <c r="K110" s="10"/>
      <c r="L110" s="10"/>
    </row>
    <row r="111" spans="1:12" x14ac:dyDescent="0.25">
      <c r="A111" s="13"/>
      <c r="B111" s="10"/>
      <c r="C111" s="10"/>
      <c r="G111" s="10"/>
      <c r="K111" s="10"/>
      <c r="L111" s="10"/>
    </row>
    <row r="112" spans="1:12" x14ac:dyDescent="0.25">
      <c r="A112" s="13"/>
      <c r="B112" s="10"/>
      <c r="C112" s="10"/>
      <c r="G112" s="10"/>
      <c r="K112" s="10"/>
      <c r="L112" s="10"/>
    </row>
    <row r="113" spans="1:12" x14ac:dyDescent="0.25">
      <c r="A113" s="13"/>
      <c r="B113" s="10"/>
      <c r="C113" s="10"/>
      <c r="G113" s="10"/>
      <c r="K113" s="10"/>
      <c r="L113" s="10"/>
    </row>
    <row r="114" spans="1:12" x14ac:dyDescent="0.25">
      <c r="A114" s="13"/>
      <c r="B114" s="10"/>
      <c r="C114" s="10"/>
      <c r="G114" s="10"/>
      <c r="K114" s="10"/>
      <c r="L114" s="10"/>
    </row>
    <row r="115" spans="1:12" x14ac:dyDescent="0.25">
      <c r="A115" s="13"/>
      <c r="B115" s="10"/>
      <c r="C115" s="10"/>
      <c r="G115" s="10"/>
      <c r="K115" s="10"/>
      <c r="L115" s="10"/>
    </row>
    <row r="116" spans="1:12" x14ac:dyDescent="0.25">
      <c r="A116" s="13"/>
      <c r="B116" s="10"/>
      <c r="C116" s="10"/>
      <c r="G116" s="10"/>
      <c r="K116" s="10"/>
      <c r="L116" s="10"/>
    </row>
  </sheetData>
  <phoneticPr fontId="5" type="noConversion"/>
  <pageMargins left="0.7" right="0.7" top="0.75" bottom="0.75" header="0.3" footer="0.3"/>
  <pageSetup paperSize="9" scale="1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neric document" ma:contentTypeID="0x01010031B82B69D2361148B4D8F7EC15680213080098FF2CF505F4F8429A32BBC97780BD2D" ma:contentTypeVersion="47" ma:contentTypeDescription="Opprett et nytt dokument." ma:contentTypeScope="" ma:versionID="86a3c703c0a43e026e0c3db721e2fb22">
  <xsd:schema xmlns:xsd="http://www.w3.org/2001/XMLSchema" xmlns:xs="http://www.w3.org/2001/XMLSchema" xmlns:p="http://schemas.microsoft.com/office/2006/metadata/properties" xmlns:ns2="8bbd4995-53b7-43e2-b62f-10947586ac31" xmlns:ns3="9d36e6d4-4554-48de-8448-e050a3dd00b9" xmlns:ns4="ac186eb3-d6cc-40cf-86ce-4795770f149c" targetNamespace="http://schemas.microsoft.com/office/2006/metadata/properties" ma:root="true" ma:fieldsID="8db9c3ef1ab383e82511000dea5fad3a" ns2:_="" ns3:_="" ns4:_="">
    <xsd:import namespace="8bbd4995-53b7-43e2-b62f-10947586ac31"/>
    <xsd:import namespace="9d36e6d4-4554-48de-8448-e050a3dd00b9"/>
    <xsd:import namespace="ac186eb3-d6cc-40cf-86ce-4795770f149c"/>
    <xsd:element name="properties">
      <xsd:complexType>
        <xsd:sequence>
          <xsd:element name="documentManagement">
            <xsd:complexType>
              <xsd:all>
                <xsd:element ref="ns2:ArchiveStatus" minOccurs="0"/>
                <xsd:element ref="ns2:CorpWorkflowApproval" minOccurs="0"/>
                <xsd:element ref="ns2:CorpWorkflowFeedback" minOccurs="0"/>
                <xsd:element ref="ns2:CorpSiteProjectNumber" minOccurs="0"/>
                <xsd:element ref="ns2:CorpSiteProjectName" minOccurs="0"/>
                <xsd:element ref="ns2:CorpSiteSubTitle" minOccurs="0"/>
                <xsd:element ref="ns2:CorpSiteAccess" minOccurs="0"/>
                <xsd:element ref="ns2:CorpSiteClassification" minOccurs="0"/>
                <xsd:element ref="ns2:CorpSiteTags" minOccurs="0"/>
                <xsd:element ref="ns2:CorpSiteProjectQA" minOccurs="0"/>
                <xsd:element ref="ns2:CorpSiteProjectOwner" minOccurs="0"/>
                <xsd:element ref="ns2:CorpSiteProjectLeader" minOccurs="0"/>
                <xsd:element ref="ns2:CorpSiteReportNumber" minOccurs="0"/>
                <xsd:element ref="ns2:CorpSiteISBN" minOccurs="0"/>
                <xsd:element ref="ns2:CorpSiteCoAuthors" minOccurs="0"/>
                <xsd:element ref="ns2:CorpSiteRecipientCompany" minOccurs="0"/>
                <xsd:element ref="ns2:CorpSiteRecipientPerson" minOccurs="0"/>
                <xsd:element ref="ns2:CorpSiteOurRef" minOccurs="0"/>
                <xsd:element ref="ns2:CorpSiteDocumentAuthor" minOccurs="0"/>
                <xsd:element ref="ns2:CorpSiteZipAddress" minOccurs="0"/>
                <xsd:element ref="ns2:CorpSiteZipContact" minOccurs="0"/>
                <xsd:element ref="ns2:CorpSiteVATNumber" minOccurs="0"/>
                <xsd:element ref="ns2:CorpSiteInstituteEmail" minOccurs="0"/>
                <xsd:element ref="ns2:CorpDocPageClassificationNbNo" minOccurs="0"/>
                <xsd:element ref="ns2:CorpDocClassificationEnUs" minOccurs="0"/>
                <xsd:element ref="ns2:CorpDocPageClassificationEnUs" minOccurs="0"/>
                <xsd:element ref="ns2:CorpDocClassificationNbNo" minOccurs="0"/>
                <xsd:element ref="ns2:CorpSiteInstituteEnUs" minOccurs="0"/>
                <xsd:element ref="ns2:CorpSiteInstitutePhone" minOccurs="0"/>
                <xsd:element ref="ns2:CorpSiteDocLanguage" minOccurs="0"/>
                <xsd:element ref="ns2:CorpDocInstitute" minOccurs="0"/>
                <xsd:element ref="ns2:CorpDocVersion" minOccurs="0"/>
                <xsd:element ref="ns3:MediaServiceMetadata" minOccurs="0"/>
                <xsd:element ref="ns3:MediaServiceFastMetadata" minOccurs="0"/>
                <xsd:element ref="ns3:MediaServiceAutoKeyPoints" minOccurs="0"/>
                <xsd:element ref="ns3:MediaServiceKeyPoints" minOccurs="0"/>
                <xsd:element ref="ns2:CorpWorkflowStatus" minOccurs="0"/>
                <xsd:element ref="ns4:SharedWithUsers" minOccurs="0"/>
                <xsd:element ref="ns4:SharedWithDetails" minOccurs="0"/>
                <xsd:element ref="ns3:lcf76f155ced4ddcb4097134ff3c332f" minOccurs="0"/>
                <xsd:element ref="ns4:TaxCatchAll"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d4995-53b7-43e2-b62f-10947586ac31" elementFormDefault="qualified">
    <xsd:import namespace="http://schemas.microsoft.com/office/2006/documentManagement/types"/>
    <xsd:import namespace="http://schemas.microsoft.com/office/infopath/2007/PartnerControls"/>
    <xsd:element name="ArchiveStatus" ma:index="8" nillable="true" ma:displayName="Arkivstatus" ma:internalName="ArchiveStatus">
      <xsd:simpleType>
        <xsd:restriction base="dms:Text">
          <xsd:maxLength value="255"/>
        </xsd:restriction>
      </xsd:simpleType>
    </xsd:element>
    <xsd:element name="CorpWorkflowApproval" ma:index="9" nillable="true" ma:displayName="Status godkjenning" ma:internalName="CorpWorkflowApproval">
      <xsd:simpleType>
        <xsd:restriction base="dms:Text">
          <xsd:maxLength value="255"/>
        </xsd:restriction>
      </xsd:simpleType>
    </xsd:element>
    <xsd:element name="CorpWorkflowFeedback" ma:index="10" nillable="true" ma:displayName="Status kvalitetssikring" ma:internalName="CorpWorkflowFeedback">
      <xsd:simpleType>
        <xsd:restriction base="dms:Text">
          <xsd:maxLength value="255"/>
        </xsd:restriction>
      </xsd:simpleType>
    </xsd:element>
    <xsd:element name="CorpSiteProjectNumber" ma:index="11" nillable="true" ma:displayName="Prosjektnummer" ma:default="" ma:internalName="CorpSiteProjectNumber">
      <xsd:simpleType>
        <xsd:restriction base="dms:Text">
          <xsd:maxLength value="255"/>
        </xsd:restriction>
      </xsd:simpleType>
    </xsd:element>
    <xsd:element name="CorpSiteProjectName" ma:index="12" nillable="true" ma:displayName="Prosjektnavn" ma:internalName="CorpSiteProjectName">
      <xsd:simpleType>
        <xsd:restriction base="dms:Text">
          <xsd:maxLength value="255"/>
        </xsd:restriction>
      </xsd:simpleType>
    </xsd:element>
    <xsd:element name="CorpSiteSubTitle" ma:index="13" nillable="true" ma:displayName="Undertittel" ma:internalName="CorpSiteSubTitle">
      <xsd:simpleType>
        <xsd:restriction base="dms:Text">
          <xsd:maxLength value="255"/>
        </xsd:restriction>
      </xsd:simpleType>
    </xsd:element>
    <xsd:element name="CorpSiteAccess" ma:index="14" nillable="true" ma:displayName="Lesetilgang" ma:default="Kun navngitte medlemmer" ma:format="Dropdown" ma:internalName="CorpSiteAccess">
      <xsd:simpleType>
        <xsd:restriction base="dms:Choice">
          <xsd:enumeration value="Kun navngitte medlemmer"/>
          <xsd:enumeration value="SINTEF"/>
          <xsd:enumeration value="Institutt"/>
          <xsd:enumeration value="Avdeling"/>
          <xsd:maxLength value="255"/>
        </xsd:restriction>
      </xsd:simpleType>
    </xsd:element>
    <xsd:element name="CorpSiteClassification" ma:index="15" nillable="true" ma:displayName="Gradering" ma:default="Åpen" ma:internalName="CorpSiteClassification">
      <xsd:simpleType>
        <xsd:restriction base="dms:Choice">
          <xsd:enumeration value="Åpen"/>
          <xsd:enumeration value="Fortrolig"/>
          <xsd:enumeration value="Strengt fortrolig"/>
          <xsd:maxLength value="255"/>
        </xsd:restriction>
      </xsd:simpleType>
    </xsd:element>
    <xsd:element name="CorpSiteTags" ma:index="16" nillable="true" ma:displayName="Tags" ma:internalName="CorpSiteTags">
      <xsd:simpleType>
        <xsd:restriction base="dms:Text">
          <xsd:maxLength value="255"/>
        </xsd:restriction>
      </xsd:simpleType>
    </xsd:element>
    <xsd:element name="CorpSiteProjectQA" ma:index="17" nillable="true" ma:displayName="Kvalitestsansvarlig" ma:list="UserInfo" ma:SharePointGroup="0" ma:internalName="CorpSiteProjectQ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rpSiteProjectOwner" ma:index="18" nillable="true" ma:displayName="Prosjekteier" ma:list="UserInfo" ma:SharePointGroup="0" ma:internalName="CorpSiteProjec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rpSiteProjectLeader" ma:index="19" nillable="true" ma:displayName="Prosjektleder" ma:list="UserInfo" ma:SharePointGroup="0" ma:internalName="CorpSiteProjectLead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rpSiteReportNumber" ma:index="20" nillable="true" ma:displayName="Rapport nummer" ma:internalName="CorpSiteReportNumber">
      <xsd:simpleType>
        <xsd:restriction base="dms:Text">
          <xsd:maxLength value="255"/>
        </xsd:restriction>
      </xsd:simpleType>
    </xsd:element>
    <xsd:element name="CorpSiteISBN" ma:index="21" nillable="true" ma:displayName="ISBN" ma:internalName="CorpSiteISBN">
      <xsd:simpleType>
        <xsd:restriction base="dms:Text">
          <xsd:maxLength value="255"/>
        </xsd:restriction>
      </xsd:simpleType>
    </xsd:element>
    <xsd:element name="CorpSiteCoAuthors" ma:index="22" nillable="true" ma:displayName="Medforfattere" ma:internalName="CorpSiteCoAuthors">
      <xsd:simpleType>
        <xsd:restriction base="dms:Text">
          <xsd:maxLength value="255"/>
        </xsd:restriction>
      </xsd:simpleType>
    </xsd:element>
    <xsd:element name="CorpSiteRecipientCompany" ma:index="23" nillable="true" ma:displayName="Mottakende selskap" ma:internalName="CorpSiteRecipientCompany">
      <xsd:simpleType>
        <xsd:restriction base="dms:Text">
          <xsd:maxLength value="255"/>
        </xsd:restriction>
      </xsd:simpleType>
    </xsd:element>
    <xsd:element name="CorpSiteRecipientPerson" ma:index="24" nillable="true" ma:displayName="Mottakende person" ma:internalName="CorpSiteRecipientPerson">
      <xsd:simpleType>
        <xsd:restriction base="dms:Text">
          <xsd:maxLength value="255"/>
        </xsd:restriction>
      </xsd:simpleType>
    </xsd:element>
    <xsd:element name="CorpSiteOurRef" ma:index="25" nillable="true" ma:displayName="Vår ref" ma:internalName="CorpSiteOurRef">
      <xsd:simpleType>
        <xsd:restriction base="dms:Text">
          <xsd:maxLength value="255"/>
        </xsd:restriction>
      </xsd:simpleType>
    </xsd:element>
    <xsd:element name="CorpSiteDocumentAuthor" ma:index="26" nillable="true" ma:displayName="Hovedforfatter" ma:internalName="CorpSiteDocum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rpSiteZipAddress" ma:index="27" nillable="true" ma:displayName="Adresse" ma:internalName="CorpSiteZipAddress">
      <xsd:simpleType>
        <xsd:restriction base="dms:Note">
          <xsd:maxLength value="255"/>
        </xsd:restriction>
      </xsd:simpleType>
    </xsd:element>
    <xsd:element name="CorpSiteZipContact" ma:index="28" nillable="true" ma:displayName="Kontakt" ma:internalName="CorpSiteZipContact">
      <xsd:simpleType>
        <xsd:restriction base="dms:Note">
          <xsd:maxLength value="255"/>
        </xsd:restriction>
      </xsd:simpleType>
    </xsd:element>
    <xsd:element name="CorpSiteVATNumber" ma:index="29" nillable="true" ma:displayName="Foretaksnummer" ma:internalName="CorpSiteVATNumber">
      <xsd:simpleType>
        <xsd:restriction base="dms:Text">
          <xsd:maxLength value="255"/>
        </xsd:restriction>
      </xsd:simpleType>
    </xsd:element>
    <xsd:element name="CorpSiteInstituteEmail" ma:index="30" nillable="true" ma:displayName="E-post institutt" ma:internalName="CorpSiteInstituteEmail">
      <xsd:simpleType>
        <xsd:restriction base="dms:Text">
          <xsd:maxLength value="255"/>
        </xsd:restriction>
      </xsd:simpleType>
    </xsd:element>
    <xsd:element name="CorpDocPageClassificationNbNo" ma:index="31" nillable="true" ma:displayName="Gradering Denne Siden" ma:default="Åpen" ma:internalName="CorpDocPageClassificationNbNo">
      <xsd:simpleType>
        <xsd:restriction base="dms:Choice">
          <xsd:enumeration value="Åpen"/>
          <xsd:enumeration value="Intern"/>
          <xsd:enumeration value="Fortrolig"/>
          <xsd:enumeration value="Strengt fortrolig"/>
          <xsd:maxLength value="255"/>
        </xsd:restriction>
      </xsd:simpleType>
    </xsd:element>
    <xsd:element name="CorpDocClassificationEnUs" ma:index="32" nillable="true" ma:displayName="Classification" ma:default="Unrestricted" ma:internalName="CorpDocClassificationEnUs">
      <xsd:simpleType>
        <xsd:restriction base="dms:Choice">
          <xsd:enumeration value="Unrestricted"/>
          <xsd:enumeration value="Internal"/>
          <xsd:enumeration value="Restricted"/>
          <xsd:enumeration value="Confidential"/>
          <xsd:maxLength value="255"/>
        </xsd:restriction>
      </xsd:simpleType>
    </xsd:element>
    <xsd:element name="CorpDocPageClassificationEnUs" ma:index="33" nillable="true" ma:displayName="Classification This Page" ma:default="Unrestricted" ma:internalName="CorpDocPageClassificationEnUs">
      <xsd:simpleType>
        <xsd:restriction base="dms:Choice">
          <xsd:enumeration value="Unrestricted"/>
          <xsd:enumeration value="Internal"/>
          <xsd:enumeration value="Restricted"/>
          <xsd:enumeration value="Confidential"/>
          <xsd:maxLength value="255"/>
        </xsd:restriction>
      </xsd:simpleType>
    </xsd:element>
    <xsd:element name="CorpDocClassificationNbNo" ma:index="34" nillable="true" ma:displayName="Gradering" ma:default="Åpen" ma:internalName="CorpDocClassificationNbNo">
      <xsd:simpleType>
        <xsd:restriction base="dms:Choice">
          <xsd:enumeration value="Åpen"/>
          <xsd:enumeration value="Intern"/>
          <xsd:enumeration value="Fortrolig"/>
          <xsd:enumeration value="Strengt fortrolig"/>
          <xsd:maxLength value="255"/>
        </xsd:restriction>
      </xsd:simpleType>
    </xsd:element>
    <xsd:element name="CorpSiteInstituteEnUs" ma:index="35" nillable="true" ma:displayName="InstituteEng" ma:internalName="CorpSiteInstituteEnUs">
      <xsd:simpleType>
        <xsd:restriction base="dms:Text">
          <xsd:maxLength value="255"/>
        </xsd:restriction>
      </xsd:simpleType>
    </xsd:element>
    <xsd:element name="CorpSiteInstitutePhone" ma:index="36" nillable="true" ma:displayName="Institutt telefon" ma:internalName="CorpSiteInstitutePhone">
      <xsd:simpleType>
        <xsd:restriction base="dms:Text">
          <xsd:maxLength value="255"/>
        </xsd:restriction>
      </xsd:simpleType>
    </xsd:element>
    <xsd:element name="CorpSiteDocLanguage" ma:index="37" nillable="true" ma:displayName="Språk" ma:internalName="CorpSiteDocLanguage">
      <xsd:simpleType>
        <xsd:restriction base="dms:Text">
          <xsd:maxLength value="255"/>
        </xsd:restriction>
      </xsd:simpleType>
    </xsd:element>
    <xsd:element name="CorpDocInstitute" ma:index="38" nillable="true" ma:displayName="Institutt" ma:internalName="CorpDocInstitute">
      <xsd:simpleType>
        <xsd:restriction base="dms:Text">
          <xsd:maxLength value="255"/>
        </xsd:restriction>
      </xsd:simpleType>
    </xsd:element>
    <xsd:element name="CorpDocVersion" ma:index="39" nillable="true" ma:displayName="Versjon" ma:internalName="CorpDocVersion">
      <xsd:simpleType>
        <xsd:restriction base="dms:Text">
          <xsd:maxLength value="255"/>
        </xsd:restriction>
      </xsd:simpleType>
    </xsd:element>
    <xsd:element name="CorpWorkflowStatus" ma:index="44" nillable="true" ma:displayName="Status arbeidsflyt" ma:internalName="CorpWorkflow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36e6d4-4554-48de-8448-e050a3dd00b9" elementFormDefault="qualified">
    <xsd:import namespace="http://schemas.microsoft.com/office/2006/documentManagement/types"/>
    <xsd:import namespace="http://schemas.microsoft.com/office/infopath/2007/PartnerControls"/>
    <xsd:element name="MediaServiceMetadata" ma:index="40" nillable="true" ma:displayName="MediaServiceMetadata" ma:hidden="true" ma:internalName="MediaServiceMetadata" ma:readOnly="true">
      <xsd:simpleType>
        <xsd:restriction base="dms:Note"/>
      </xsd:simpleType>
    </xsd:element>
    <xsd:element name="MediaServiceFastMetadata" ma:index="41" nillable="true" ma:displayName="MediaServiceFastMetadata" ma:hidden="true" ma:internalName="MediaServiceFastMetadata" ma:readOnly="true">
      <xsd:simpleType>
        <xsd:restriction base="dms:Not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element name="lcf76f155ced4ddcb4097134ff3c332f" ma:index="48" nillable="true" ma:taxonomy="true" ma:internalName="lcf76f155ced4ddcb4097134ff3c332f" ma:taxonomyFieldName="MediaServiceImageTags" ma:displayName="Bildemerkelapper" ma:readOnly="false" ma:fieldId="{5cf76f15-5ced-4ddc-b409-7134ff3c332f}" ma:taxonomyMulti="true" ma:sspId="322a372c-f9c2-4fd8-9939-aea158435baa" ma:termSetId="09814cd3-568e-fe90-9814-8d621ff8fb84" ma:anchorId="fba54fb3-c3e1-fe81-a776-ca4b69148c4d" ma:open="true" ma:isKeyword="false">
      <xsd:complexType>
        <xsd:sequence>
          <xsd:element ref="pc:Terms" minOccurs="0" maxOccurs="1"/>
        </xsd:sequence>
      </xsd:complex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186eb3-d6cc-40cf-86ce-4795770f149c" elementFormDefault="qualified">
    <xsd:import namespace="http://schemas.microsoft.com/office/2006/documentManagement/types"/>
    <xsd:import namespace="http://schemas.microsoft.com/office/infopath/2007/PartnerControls"/>
    <xsd:element name="SharedWithUsers" ma:index="4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Delingsdetaljer" ma:internalName="SharedWithDetails" ma:readOnly="true">
      <xsd:simpleType>
        <xsd:restriction base="dms:Note">
          <xsd:maxLength value="255"/>
        </xsd:restriction>
      </xsd:simpleType>
    </xsd:element>
    <xsd:element name="TaxCatchAll" ma:index="49" nillable="true" ma:displayName="Taxonomy Catch All Column" ma:hidden="true" ma:list="{d6eae55a-3b26-47db-9411-ba4df30f69d2}" ma:internalName="TaxCatchAll" ma:showField="CatchAllData" ma:web="ac186eb3-d6cc-40cf-86ce-4795770f14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186eb3-d6cc-40cf-86ce-4795770f149c" xsi:nil="true"/>
    <lcf76f155ced4ddcb4097134ff3c332f xmlns="9d36e6d4-4554-48de-8448-e050a3dd00b9">
      <Terms xmlns="http://schemas.microsoft.com/office/infopath/2007/PartnerControls"/>
    </lcf76f155ced4ddcb4097134ff3c332f>
    <CorpSiteZipContact xmlns="8bbd4995-53b7-43e2-b62f-10947586ac31" xsi:nil="true"/>
    <CorpSiteProjectLeader xmlns="8bbd4995-53b7-43e2-b62f-10947586ac31">
      <UserInfo>
        <DisplayName/>
        <AccountId xsi:nil="true"/>
        <AccountType/>
      </UserInfo>
    </CorpSiteProjectLeader>
    <CorpSiteSubTitle xmlns="8bbd4995-53b7-43e2-b62f-10947586ac31" xsi:nil="true"/>
    <CorpSiteTags xmlns="8bbd4995-53b7-43e2-b62f-10947586ac31" xsi:nil="true"/>
    <CorpSiteISBN xmlns="8bbd4995-53b7-43e2-b62f-10947586ac31" xsi:nil="true"/>
    <CorpWorkflowFeedback xmlns="8bbd4995-53b7-43e2-b62f-10947586ac31" xsi:nil="true"/>
    <CorpSiteAccess xmlns="8bbd4995-53b7-43e2-b62f-10947586ac31">Kun navngitte medlemmer</CorpSiteAccess>
    <CorpSiteRecipientPerson xmlns="8bbd4995-53b7-43e2-b62f-10947586ac31" xsi:nil="true"/>
    <CorpSiteProjectNumber xmlns="8bbd4995-53b7-43e2-b62f-10947586ac31" xsi:nil="true"/>
    <CorpSiteProjectName xmlns="8bbd4995-53b7-43e2-b62f-10947586ac31" xsi:nil="true"/>
    <CorpDocInstitute xmlns="8bbd4995-53b7-43e2-b62f-10947586ac31" xsi:nil="true"/>
    <CorpSiteInstitutePhone xmlns="8bbd4995-53b7-43e2-b62f-10947586ac31" xsi:nil="true"/>
    <CorpSiteProjectOwner xmlns="8bbd4995-53b7-43e2-b62f-10947586ac31">
      <UserInfo>
        <DisplayName/>
        <AccountId xsi:nil="true"/>
        <AccountType/>
      </UserInfo>
    </CorpSiteProjectOwner>
    <CorpDocPageClassificationNbNo xmlns="8bbd4995-53b7-43e2-b62f-10947586ac31">Åpen</CorpDocPageClassificationNbNo>
    <CorpDocClassificationEnUs xmlns="8bbd4995-53b7-43e2-b62f-10947586ac31">Unrestricted</CorpDocClassificationEnUs>
    <CorpDocClassificationNbNo xmlns="8bbd4995-53b7-43e2-b62f-10947586ac31">Åpen</CorpDocClassificationNbNo>
    <CorpWorkflowStatus xmlns="8bbd4995-53b7-43e2-b62f-10947586ac31" xsi:nil="true"/>
    <CorpSiteClassification xmlns="8bbd4995-53b7-43e2-b62f-10947586ac31">Åpen</CorpSiteClassification>
    <CorpSiteInstituteEmail xmlns="8bbd4995-53b7-43e2-b62f-10947586ac31" xsi:nil="true"/>
    <CorpSiteCoAuthors xmlns="8bbd4995-53b7-43e2-b62f-10947586ac31" xsi:nil="true"/>
    <CorpSiteDocumentAuthor xmlns="8bbd4995-53b7-43e2-b62f-10947586ac31">
      <UserInfo>
        <DisplayName/>
        <AccountId xsi:nil="true"/>
        <AccountType/>
      </UserInfo>
    </CorpSiteDocumentAuthor>
    <CorpSiteInstituteEnUs xmlns="8bbd4995-53b7-43e2-b62f-10947586ac31" xsi:nil="true"/>
    <CorpSiteRecipientCompany xmlns="8bbd4995-53b7-43e2-b62f-10947586ac31" xsi:nil="true"/>
    <CorpSiteDocLanguage xmlns="8bbd4995-53b7-43e2-b62f-10947586ac31" xsi:nil="true"/>
    <CorpDocVersion xmlns="8bbd4995-53b7-43e2-b62f-10947586ac31" xsi:nil="true"/>
    <CorpWorkflowApproval xmlns="8bbd4995-53b7-43e2-b62f-10947586ac31" xsi:nil="true"/>
    <ArchiveStatus xmlns="8bbd4995-53b7-43e2-b62f-10947586ac31" xsi:nil="true"/>
    <CorpSiteProjectQA xmlns="8bbd4995-53b7-43e2-b62f-10947586ac31">
      <UserInfo>
        <DisplayName/>
        <AccountId xsi:nil="true"/>
        <AccountType/>
      </UserInfo>
    </CorpSiteProjectQA>
    <CorpSiteZipAddress xmlns="8bbd4995-53b7-43e2-b62f-10947586ac31" xsi:nil="true"/>
    <CorpSiteVATNumber xmlns="8bbd4995-53b7-43e2-b62f-10947586ac31" xsi:nil="true"/>
    <CorpSiteReportNumber xmlns="8bbd4995-53b7-43e2-b62f-10947586ac31" xsi:nil="true"/>
    <CorpSiteOurRef xmlns="8bbd4995-53b7-43e2-b62f-10947586ac31" xsi:nil="true"/>
    <CorpDocPageClassificationEnUs xmlns="8bbd4995-53b7-43e2-b62f-10947586ac31">Unrestricted</CorpDocPageClassificationEnUs>
  </documentManagement>
</p:properties>
</file>

<file path=customXml/itemProps1.xml><?xml version="1.0" encoding="utf-8"?>
<ds:datastoreItem xmlns:ds="http://schemas.openxmlformats.org/officeDocument/2006/customXml" ds:itemID="{5BE5290E-59FF-48E1-BFA5-817B12E2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d4995-53b7-43e2-b62f-10947586ac31"/>
    <ds:schemaRef ds:uri="9d36e6d4-4554-48de-8448-e050a3dd00b9"/>
    <ds:schemaRef ds:uri="ac186eb3-d6cc-40cf-86ce-4795770f1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BB9DBC-BCDD-473E-8E39-FCE8A3B8EE4D}">
  <ds:schemaRefs>
    <ds:schemaRef ds:uri="http://schemas.microsoft.com/sharepoint/v3/contenttype/forms"/>
  </ds:schemaRefs>
</ds:datastoreItem>
</file>

<file path=customXml/itemProps3.xml><?xml version="1.0" encoding="utf-8"?>
<ds:datastoreItem xmlns:ds="http://schemas.openxmlformats.org/officeDocument/2006/customXml" ds:itemID="{F31E8A43-588A-4D8D-8F86-3D64334FD433}">
  <ds:schemaRefs>
    <ds:schemaRef ds:uri="8bbd4995-53b7-43e2-b62f-10947586ac31"/>
    <ds:schemaRef ds:uri="http://purl.org/dc/terms/"/>
    <ds:schemaRef ds:uri="http://schemas.openxmlformats.org/package/2006/metadata/core-properties"/>
    <ds:schemaRef ds:uri="http://schemas.microsoft.com/office/2006/documentManagement/types"/>
    <ds:schemaRef ds:uri="ac186eb3-d6cc-40cf-86ce-4795770f149c"/>
    <ds:schemaRef ds:uri="http://purl.org/dc/elements/1.1/"/>
    <ds:schemaRef ds:uri="http://schemas.microsoft.com/office/2006/metadata/properties"/>
    <ds:schemaRef ds:uri="http://schemas.microsoft.com/office/infopath/2007/PartnerControls"/>
    <ds:schemaRef ds:uri="9d36e6d4-4554-48de-8448-e050a3dd00b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R&amp;I activities</vt:lpstr>
      <vt:lpstr>EU</vt:lpstr>
      <vt:lpstr>Austria</vt:lpstr>
      <vt:lpstr>Belgium</vt:lpstr>
      <vt:lpstr>Finland</vt:lpstr>
      <vt:lpstr>France</vt:lpstr>
      <vt:lpstr>Germany</vt:lpstr>
      <vt:lpstr>Italy</vt:lpstr>
      <vt:lpstr>Netherlands</vt:lpstr>
      <vt:lpstr>Portugal</vt:lpstr>
      <vt:lpstr>Spain</vt:lpstr>
      <vt:lpstr>Sweden</vt:lpstr>
      <vt:lpstr>Turkey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Cansu Birgen</dc:creator>
  <cp:keywords/>
  <dc:description/>
  <cp:lastModifiedBy>Judit Sandquist</cp:lastModifiedBy>
  <cp:revision/>
  <dcterms:created xsi:type="dcterms:W3CDTF">2015-06-05T18:17:20Z</dcterms:created>
  <dcterms:modified xsi:type="dcterms:W3CDTF">2023-08-02T13:03:21Z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0x01010035F4483181EC5C4BAA7D492F4872901F</vt:lpwstr>
  </property>
  <property fmtid="{D5CDD505-2E9C-101B-9397-08002B2CF9AE}" pid="4" name="MediaServiceImageTags">
    <vt:lpwstr/>
  </property>
  <property fmtid="{D5CDD505-2E9C-101B-9397-08002B2CF9AE}" pid="5" name="_AdHocReviewCycleID">
    <vt:i4>1274076583</vt:i4>
  </property>
  <property fmtid="{D5CDD505-2E9C-101B-9397-08002B2CF9AE}" pid="6" name="_EmailSubject">
    <vt:lpwstr>SET4BIO | D1.1 Final update</vt:lpwstr>
  </property>
  <property fmtid="{D5CDD505-2E9C-101B-9397-08002B2CF9AE}" pid="7" name="_AuthorEmail">
    <vt:lpwstr>judit.sandquist@sintef.no</vt:lpwstr>
  </property>
  <property fmtid="{D5CDD505-2E9C-101B-9397-08002B2CF9AE}" pid="8" name="_AuthorEmailDisplayName">
    <vt:lpwstr>Judit Sandquist</vt:lpwstr>
  </property>
</Properties>
</file>